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roberto\Desktop\"/>
    </mc:Choice>
  </mc:AlternateContent>
  <bookViews>
    <workbookView xWindow="-105" yWindow="-105" windowWidth="23250" windowHeight="12570"/>
  </bookViews>
  <sheets>
    <sheet name="Ejemplo 1" sheetId="20" r:id="rId1"/>
    <sheet name="Ejemplo 2" sheetId="1" r:id="rId2"/>
    <sheet name="Ejemplo 3" sheetId="2" r:id="rId3"/>
    <sheet name="Ejemplo 4" sheetId="3" r:id="rId4"/>
    <sheet name="Ejemplo 5" sheetId="6" r:id="rId5"/>
    <sheet name="Ejemplo 6" sheetId="17" r:id="rId6"/>
    <sheet name="Ejemplo 7" sheetId="7" r:id="rId7"/>
    <sheet name="Ejemplo 8" sheetId="8" r:id="rId8"/>
    <sheet name="Ejemplo 9" sheetId="9" r:id="rId9"/>
    <sheet name="Ejemplo 10" sheetId="5" r:id="rId10"/>
    <sheet name="Ejemplo 11" sheetId="16" r:id="rId11"/>
    <sheet name="Ejemplo 12" sheetId="18" r:id="rId12"/>
    <sheet name="Ejemplo 13" sheetId="19" r:id="rId13"/>
    <sheet name="Ejemplo 14" sheetId="11" r:id="rId14"/>
    <sheet name="Ejemplo 15" sheetId="21" r:id="rId15"/>
    <sheet name="Ejemplo 16" sheetId="22" r:id="rId16"/>
    <sheet name="Ejemplo 17" sheetId="26" r:id="rId17"/>
    <sheet name="Ejemplo 18" sheetId="23" r:id="rId18"/>
    <sheet name="Ejemplo 19" sheetId="14" r:id="rId19"/>
    <sheet name="Ejemplo 20" sheetId="24" r:id="rId20"/>
    <sheet name="Ejemplo 21" sheetId="36" r:id="rId21"/>
    <sheet name="Ejemplo 22" sheetId="25" r:id="rId22"/>
    <sheet name="Banda de Pre Cot Nac RF" sheetId="33" r:id="rId23"/>
    <sheet name="Banda de Pre Cot Nac RV" sheetId="34" r:id="rId24"/>
    <sheet name="Banda de Pre Cot Intern" sheetId="35" r:id="rId2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24" hidden="1">'Banda de Pre Cot Intern'!$A$7:$U$317</definedName>
    <definedName name="_xlnm._FilterDatabase" localSheetId="22" hidden="1">'Banda de Pre Cot Nac RF'!$B$4:$G$121</definedName>
    <definedName name="_xlnm._FilterDatabase" localSheetId="23" hidden="1">'Banda de Pre Cot Nac RV'!$L$3:$L$3</definedName>
    <definedName name="_ftn1" localSheetId="2">'Ejemplo 3'!$B$26</definedName>
    <definedName name="_ftnref1" localSheetId="2">'Ejemplo 3'!$B$12</definedName>
    <definedName name="_Hlk14963875" localSheetId="1">'Ejemplo 2'!$D$11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6" l="1"/>
  <c r="C15" i="8" l="1"/>
  <c r="F18" i="1"/>
  <c r="D38" i="1"/>
  <c r="D100" i="35"/>
  <c r="E100" i="35" s="1"/>
  <c r="C100" i="35"/>
  <c r="B100" i="35"/>
  <c r="H99" i="35"/>
  <c r="D99" i="35"/>
  <c r="E99" i="35" s="1"/>
  <c r="C99" i="35"/>
  <c r="B99" i="35"/>
  <c r="H98" i="35"/>
  <c r="D98" i="35"/>
  <c r="E98" i="35" s="1"/>
  <c r="C98" i="35"/>
  <c r="B98" i="35"/>
  <c r="H97" i="35"/>
  <c r="E97" i="35"/>
  <c r="D97" i="35"/>
  <c r="C97" i="35"/>
  <c r="B97" i="35"/>
  <c r="H96" i="35"/>
  <c r="D96" i="35"/>
  <c r="E96" i="35" s="1"/>
  <c r="C96" i="35"/>
  <c r="B96" i="35"/>
  <c r="H95" i="35"/>
  <c r="D95" i="35"/>
  <c r="E95" i="35" s="1"/>
  <c r="C95" i="35"/>
  <c r="B95" i="35"/>
  <c r="H94" i="35"/>
  <c r="D94" i="35"/>
  <c r="E94" i="35" s="1"/>
  <c r="C94" i="35"/>
  <c r="B94" i="35"/>
  <c r="H93" i="35"/>
  <c r="E93" i="35"/>
  <c r="D93" i="35"/>
  <c r="C93" i="35"/>
  <c r="B93" i="35"/>
  <c r="H92" i="35"/>
  <c r="D92" i="35"/>
  <c r="E92" i="35" s="1"/>
  <c r="C92" i="35"/>
  <c r="B92" i="35"/>
  <c r="H91" i="35"/>
  <c r="D91" i="35"/>
  <c r="E91" i="35" s="1"/>
  <c r="C91" i="35"/>
  <c r="B91" i="35"/>
  <c r="H90" i="35"/>
  <c r="D90" i="35"/>
  <c r="E90" i="35" s="1"/>
  <c r="C90" i="35"/>
  <c r="B90" i="35"/>
  <c r="H89" i="35"/>
  <c r="E89" i="35"/>
  <c r="D89" i="35"/>
  <c r="C89" i="35"/>
  <c r="B89" i="35"/>
  <c r="H88" i="35"/>
  <c r="D88" i="35"/>
  <c r="E88" i="35" s="1"/>
  <c r="C88" i="35"/>
  <c r="B88" i="35"/>
  <c r="H87" i="35"/>
  <c r="D87" i="35"/>
  <c r="E87" i="35" s="1"/>
  <c r="C87" i="35"/>
  <c r="B87" i="35"/>
  <c r="H86" i="35"/>
  <c r="D86" i="35"/>
  <c r="E86" i="35" s="1"/>
  <c r="C86" i="35"/>
  <c r="B86" i="35"/>
  <c r="H85" i="35"/>
  <c r="E85" i="35"/>
  <c r="D85" i="35"/>
  <c r="C85" i="35"/>
  <c r="B85" i="35"/>
  <c r="H84" i="35"/>
  <c r="D84" i="35"/>
  <c r="E84" i="35" s="1"/>
  <c r="C84" i="35"/>
  <c r="B84" i="35"/>
  <c r="H83" i="35"/>
  <c r="D83" i="35"/>
  <c r="E83" i="35" s="1"/>
  <c r="C83" i="35"/>
  <c r="B83" i="35"/>
  <c r="H82" i="35"/>
  <c r="D82" i="35"/>
  <c r="E82" i="35" s="1"/>
  <c r="C82" i="35"/>
  <c r="B82" i="35"/>
  <c r="H81" i="35"/>
  <c r="E81" i="35"/>
  <c r="D81" i="35"/>
  <c r="C81" i="35"/>
  <c r="B81" i="35"/>
  <c r="H80" i="35"/>
  <c r="E80" i="35"/>
  <c r="D80" i="35"/>
  <c r="C80" i="35"/>
  <c r="B80" i="35"/>
  <c r="H79" i="35"/>
  <c r="D79" i="35"/>
  <c r="E79" i="35" s="1"/>
  <c r="C79" i="35"/>
  <c r="B79" i="35"/>
  <c r="H78" i="35"/>
  <c r="D78" i="35"/>
  <c r="E78" i="35" s="1"/>
  <c r="C78" i="35"/>
  <c r="B78" i="35"/>
  <c r="H77" i="35"/>
  <c r="E77" i="35"/>
  <c r="D77" i="35"/>
  <c r="C77" i="35"/>
  <c r="B77" i="35"/>
  <c r="H76" i="35"/>
  <c r="E76" i="35"/>
  <c r="D76" i="35"/>
  <c r="C76" i="35"/>
  <c r="B76" i="35"/>
  <c r="H75" i="35"/>
  <c r="E75" i="35"/>
  <c r="D75" i="35"/>
  <c r="C75" i="35"/>
  <c r="B75" i="35"/>
  <c r="H74" i="35"/>
  <c r="D74" i="35"/>
  <c r="E74" i="35" s="1"/>
  <c r="C74" i="35"/>
  <c r="B74" i="35"/>
  <c r="H73" i="35"/>
  <c r="E73" i="35"/>
  <c r="D73" i="35"/>
  <c r="C73" i="35"/>
  <c r="B73" i="35"/>
  <c r="H72" i="35"/>
  <c r="E72" i="35"/>
  <c r="D72" i="35"/>
  <c r="C72" i="35"/>
  <c r="B72" i="35"/>
  <c r="H71" i="35"/>
  <c r="E71" i="35"/>
  <c r="D71" i="35"/>
  <c r="C71" i="35"/>
  <c r="B71" i="35"/>
  <c r="H70" i="35"/>
  <c r="D70" i="35"/>
  <c r="E70" i="35" s="1"/>
  <c r="C70" i="35"/>
  <c r="B70" i="35"/>
  <c r="H69" i="35"/>
  <c r="E69" i="35"/>
  <c r="D69" i="35"/>
  <c r="C69" i="35"/>
  <c r="B69" i="35"/>
  <c r="H68" i="35"/>
  <c r="E68" i="35"/>
  <c r="D68" i="35"/>
  <c r="C68" i="35"/>
  <c r="B68" i="35"/>
  <c r="H67" i="35"/>
  <c r="E67" i="35"/>
  <c r="D67" i="35"/>
  <c r="C67" i="35"/>
  <c r="B67" i="35"/>
  <c r="H66" i="35"/>
  <c r="D66" i="35"/>
  <c r="E66" i="35" s="1"/>
  <c r="C66" i="35"/>
  <c r="B66" i="35"/>
  <c r="H65" i="35"/>
  <c r="E65" i="35"/>
  <c r="D65" i="35"/>
  <c r="C65" i="35"/>
  <c r="B65" i="35"/>
  <c r="H64" i="35"/>
  <c r="E64" i="35"/>
  <c r="D64" i="35"/>
  <c r="C64" i="35"/>
  <c r="B64" i="35"/>
  <c r="H63" i="35"/>
  <c r="E63" i="35"/>
  <c r="D63" i="35"/>
  <c r="C63" i="35"/>
  <c r="B63" i="35"/>
  <c r="H62" i="35"/>
  <c r="D62" i="35"/>
  <c r="E62" i="35" s="1"/>
  <c r="C62" i="35"/>
  <c r="B62" i="35"/>
  <c r="H61" i="35"/>
  <c r="E61" i="35"/>
  <c r="D61" i="35"/>
  <c r="C61" i="35"/>
  <c r="B61" i="35"/>
  <c r="H60" i="35"/>
  <c r="E60" i="35"/>
  <c r="D60" i="35"/>
  <c r="C60" i="35"/>
  <c r="B60" i="35"/>
  <c r="H59" i="35"/>
  <c r="E59" i="35"/>
  <c r="D59" i="35"/>
  <c r="C59" i="35"/>
  <c r="B59" i="35"/>
  <c r="H58" i="35"/>
  <c r="D58" i="35"/>
  <c r="E58" i="35" s="1"/>
  <c r="C58" i="35"/>
  <c r="B58" i="35"/>
  <c r="H57" i="35"/>
  <c r="E57" i="35"/>
  <c r="D57" i="35"/>
  <c r="C57" i="35"/>
  <c r="B57" i="35"/>
  <c r="H56" i="35"/>
  <c r="E56" i="35"/>
  <c r="D56" i="35"/>
  <c r="C56" i="35"/>
  <c r="B56" i="35"/>
  <c r="H55" i="35"/>
  <c r="E55" i="35"/>
  <c r="D55" i="35"/>
  <c r="C55" i="35"/>
  <c r="B55" i="35"/>
  <c r="H54" i="35"/>
  <c r="D54" i="35"/>
  <c r="E54" i="35" s="1"/>
  <c r="C54" i="35"/>
  <c r="B54" i="35"/>
  <c r="H53" i="35"/>
  <c r="E53" i="35"/>
  <c r="D53" i="35"/>
  <c r="C53" i="35"/>
  <c r="B53" i="35"/>
  <c r="H52" i="35"/>
  <c r="E52" i="35"/>
  <c r="D52" i="35"/>
  <c r="C52" i="35"/>
  <c r="B52" i="35"/>
  <c r="H51" i="35"/>
  <c r="E51" i="35"/>
  <c r="D51" i="35"/>
  <c r="C51" i="35"/>
  <c r="B51" i="35"/>
  <c r="H50" i="35"/>
  <c r="D50" i="35"/>
  <c r="E50" i="35" s="1"/>
  <c r="C50" i="35"/>
  <c r="B50" i="35"/>
  <c r="H49" i="35"/>
  <c r="E49" i="35"/>
  <c r="D49" i="35"/>
  <c r="C49" i="35"/>
  <c r="B49" i="35"/>
  <c r="H48" i="35"/>
  <c r="D48" i="35"/>
  <c r="E48" i="35" s="1"/>
  <c r="C48" i="35"/>
  <c r="B48" i="35"/>
  <c r="H47" i="35"/>
  <c r="E47" i="35"/>
  <c r="D47" i="35"/>
  <c r="C47" i="35"/>
  <c r="B47" i="35"/>
  <c r="H46" i="35"/>
  <c r="D46" i="35"/>
  <c r="E46" i="35" s="1"/>
  <c r="C46" i="35"/>
  <c r="B46" i="35"/>
  <c r="H45" i="35"/>
  <c r="E45" i="35"/>
  <c r="D45" i="35"/>
  <c r="C45" i="35"/>
  <c r="B45" i="35"/>
  <c r="H44" i="35"/>
  <c r="D44" i="35"/>
  <c r="E44" i="35" s="1"/>
  <c r="C44" i="35"/>
  <c r="B44" i="35"/>
  <c r="H43" i="35"/>
  <c r="E43" i="35"/>
  <c r="D43" i="35"/>
  <c r="C43" i="35"/>
  <c r="B43" i="35"/>
  <c r="H42" i="35"/>
  <c r="D42" i="35"/>
  <c r="E42" i="35" s="1"/>
  <c r="C42" i="35"/>
  <c r="B42" i="35"/>
  <c r="H41" i="35"/>
  <c r="E41" i="35"/>
  <c r="D41" i="35"/>
  <c r="C41" i="35"/>
  <c r="B41" i="35"/>
  <c r="H40" i="35"/>
  <c r="D40" i="35"/>
  <c r="E40" i="35" s="1"/>
  <c r="C40" i="35"/>
  <c r="B40" i="35"/>
  <c r="H39" i="35"/>
  <c r="E39" i="35"/>
  <c r="D39" i="35"/>
  <c r="C39" i="35"/>
  <c r="B39" i="35"/>
  <c r="H38" i="35"/>
  <c r="D38" i="35"/>
  <c r="E38" i="35" s="1"/>
  <c r="C38" i="35"/>
  <c r="B38" i="35"/>
  <c r="H37" i="35"/>
  <c r="E37" i="35"/>
  <c r="D37" i="35"/>
  <c r="C37" i="35"/>
  <c r="B37" i="35"/>
  <c r="H36" i="35"/>
  <c r="D36" i="35"/>
  <c r="E36" i="35" s="1"/>
  <c r="C36" i="35"/>
  <c r="B36" i="35"/>
  <c r="H35" i="35"/>
  <c r="E35" i="35"/>
  <c r="D35" i="35"/>
  <c r="C35" i="35"/>
  <c r="B35" i="35"/>
  <c r="H34" i="35"/>
  <c r="D34" i="35"/>
  <c r="E34" i="35" s="1"/>
  <c r="C34" i="35"/>
  <c r="B34" i="35"/>
  <c r="H33" i="35"/>
  <c r="E33" i="35"/>
  <c r="D33" i="35"/>
  <c r="C33" i="35"/>
  <c r="B33" i="35"/>
  <c r="H32" i="35"/>
  <c r="D32" i="35"/>
  <c r="E32" i="35" s="1"/>
  <c r="C32" i="35"/>
  <c r="B32" i="35"/>
  <c r="H31" i="35"/>
  <c r="E31" i="35"/>
  <c r="D31" i="35"/>
  <c r="C31" i="35"/>
  <c r="B31" i="35"/>
  <c r="H30" i="35"/>
  <c r="D30" i="35"/>
  <c r="E30" i="35" s="1"/>
  <c r="C30" i="35"/>
  <c r="B30" i="35"/>
  <c r="H29" i="35"/>
  <c r="E29" i="35"/>
  <c r="D29" i="35"/>
  <c r="C29" i="35"/>
  <c r="B29" i="35"/>
  <c r="H28" i="35"/>
  <c r="D28" i="35"/>
  <c r="E28" i="35" s="1"/>
  <c r="C28" i="35"/>
  <c r="B28" i="35"/>
  <c r="H27" i="35"/>
  <c r="E27" i="35"/>
  <c r="D27" i="35"/>
  <c r="C27" i="35"/>
  <c r="B27" i="35"/>
  <c r="H26" i="35"/>
  <c r="D26" i="35"/>
  <c r="E26" i="35" s="1"/>
  <c r="C26" i="35"/>
  <c r="B26" i="35"/>
  <c r="H25" i="35"/>
  <c r="E25" i="35"/>
  <c r="D25" i="35"/>
  <c r="C25" i="35"/>
  <c r="B25" i="35"/>
  <c r="H24" i="35"/>
  <c r="D24" i="35"/>
  <c r="E24" i="35" s="1"/>
  <c r="C24" i="35"/>
  <c r="B24" i="35"/>
  <c r="H23" i="35"/>
  <c r="E23" i="35"/>
  <c r="D23" i="35"/>
  <c r="C23" i="35"/>
  <c r="B23" i="35"/>
  <c r="H22" i="35"/>
  <c r="D22" i="35"/>
  <c r="E22" i="35" s="1"/>
  <c r="C22" i="35"/>
  <c r="B22" i="35"/>
  <c r="H21" i="35"/>
  <c r="E21" i="35"/>
  <c r="D21" i="35"/>
  <c r="C21" i="35"/>
  <c r="B21" i="35"/>
  <c r="H20" i="35"/>
  <c r="D20" i="35"/>
  <c r="E20" i="35" s="1"/>
  <c r="C20" i="35"/>
  <c r="B20" i="35"/>
  <c r="H19" i="35"/>
  <c r="E19" i="35"/>
  <c r="D19" i="35"/>
  <c r="C19" i="35"/>
  <c r="B19" i="35"/>
  <c r="H18" i="35"/>
  <c r="D18" i="35"/>
  <c r="E18" i="35" s="1"/>
  <c r="C18" i="35"/>
  <c r="B18" i="35"/>
  <c r="H17" i="35"/>
  <c r="E17" i="35"/>
  <c r="D17" i="35"/>
  <c r="C17" i="35"/>
  <c r="B17" i="35"/>
  <c r="H16" i="35"/>
  <c r="D16" i="35"/>
  <c r="E16" i="35" s="1"/>
  <c r="C16" i="35"/>
  <c r="B16" i="35"/>
  <c r="H15" i="35"/>
  <c r="E15" i="35"/>
  <c r="D15" i="35"/>
  <c r="C15" i="35"/>
  <c r="B15" i="35"/>
  <c r="H14" i="35"/>
  <c r="D14" i="35"/>
  <c r="E14" i="35" s="1"/>
  <c r="C14" i="35"/>
  <c r="B14" i="35"/>
  <c r="H13" i="35"/>
  <c r="E13" i="35"/>
  <c r="D13" i="35"/>
  <c r="C13" i="35"/>
  <c r="B13" i="35"/>
  <c r="H12" i="35"/>
  <c r="D12" i="35"/>
  <c r="E12" i="35" s="1"/>
  <c r="C12" i="35"/>
  <c r="B12" i="35"/>
  <c r="H11" i="35"/>
  <c r="E11" i="35"/>
  <c r="D11" i="35"/>
  <c r="C11" i="35"/>
  <c r="B11" i="35"/>
  <c r="H10" i="35"/>
  <c r="I99" i="35" s="1"/>
  <c r="D10" i="35"/>
  <c r="E10" i="35" s="1"/>
  <c r="C10" i="35"/>
  <c r="B10" i="35"/>
  <c r="H9" i="35"/>
  <c r="E9" i="35"/>
  <c r="D9" i="35"/>
  <c r="C9" i="35"/>
  <c r="B9" i="35"/>
  <c r="E8" i="35"/>
  <c r="D8" i="35"/>
  <c r="C8" i="35"/>
  <c r="B8" i="35"/>
  <c r="J99" i="35" l="1"/>
  <c r="I100" i="35"/>
  <c r="J100" i="35" s="1"/>
  <c r="L100" i="35" l="1"/>
  <c r="K100" i="35"/>
  <c r="N100" i="35" s="1"/>
  <c r="O100" i="35" s="1"/>
  <c r="L99" i="35"/>
  <c r="K99" i="35"/>
  <c r="D245" i="34" l="1"/>
  <c r="D244" i="34"/>
  <c r="D243" i="34"/>
  <c r="D242" i="34"/>
  <c r="D241" i="34"/>
  <c r="D240" i="34"/>
  <c r="D239" i="34"/>
  <c r="D238" i="34"/>
  <c r="D237" i="34"/>
  <c r="D236" i="34"/>
  <c r="D235" i="34"/>
  <c r="D234" i="34"/>
  <c r="D233" i="34"/>
  <c r="D232" i="34"/>
  <c r="D231" i="34"/>
  <c r="D230" i="34"/>
  <c r="D229" i="34"/>
  <c r="D228" i="34"/>
  <c r="D227" i="34"/>
  <c r="D226" i="34"/>
  <c r="D225" i="34"/>
  <c r="D224" i="34"/>
  <c r="D223" i="34"/>
  <c r="D222" i="34"/>
  <c r="D221" i="34"/>
  <c r="D220" i="34"/>
  <c r="D219" i="34"/>
  <c r="D218" i="34"/>
  <c r="D217" i="34"/>
  <c r="D216" i="34"/>
  <c r="D215" i="34"/>
  <c r="D214" i="34"/>
  <c r="D213" i="34"/>
  <c r="D212" i="34"/>
  <c r="D211" i="34"/>
  <c r="D210" i="34"/>
  <c r="D209" i="34"/>
  <c r="D208" i="34"/>
  <c r="D207" i="34"/>
  <c r="D206" i="34"/>
  <c r="D205" i="34"/>
  <c r="D204" i="34"/>
  <c r="D203" i="34"/>
  <c r="D202" i="34"/>
  <c r="D201" i="34"/>
  <c r="D200" i="34"/>
  <c r="D199" i="34"/>
  <c r="D198" i="34"/>
  <c r="D197" i="34"/>
  <c r="D196" i="34"/>
  <c r="D195" i="34"/>
  <c r="D194" i="34"/>
  <c r="D193" i="34"/>
  <c r="D192" i="34"/>
  <c r="D191" i="34"/>
  <c r="D190" i="34"/>
  <c r="D189" i="34"/>
  <c r="D188" i="34"/>
  <c r="D187" i="34"/>
  <c r="D186" i="34"/>
  <c r="D185" i="34"/>
  <c r="D184" i="34"/>
  <c r="D183" i="34"/>
  <c r="D182" i="34"/>
  <c r="D181" i="34"/>
  <c r="D180" i="34"/>
  <c r="D179" i="34"/>
  <c r="D178" i="34"/>
  <c r="D177" i="34"/>
  <c r="D176" i="34"/>
  <c r="D175" i="34"/>
  <c r="D174" i="34"/>
  <c r="D173" i="34"/>
  <c r="D172" i="34"/>
  <c r="D171" i="34"/>
  <c r="D170" i="34"/>
  <c r="D169" i="34"/>
  <c r="D168" i="34"/>
  <c r="D167" i="34"/>
  <c r="D166" i="34"/>
  <c r="D165" i="34"/>
  <c r="D164" i="34"/>
  <c r="D163" i="34"/>
  <c r="D162" i="34"/>
  <c r="D161" i="34"/>
  <c r="D160" i="34"/>
  <c r="D159" i="34"/>
  <c r="D158" i="34"/>
  <c r="D157" i="34"/>
  <c r="D156" i="34"/>
  <c r="D155" i="34"/>
  <c r="D154" i="34"/>
  <c r="D153" i="34"/>
  <c r="D152" i="34"/>
  <c r="D151" i="34"/>
  <c r="D150" i="34"/>
  <c r="D149" i="34"/>
  <c r="D148" i="34"/>
  <c r="D147" i="34"/>
  <c r="D146" i="34"/>
  <c r="D145" i="34"/>
  <c r="D144" i="34"/>
  <c r="D143" i="34"/>
  <c r="D142" i="34"/>
  <c r="D141" i="34"/>
  <c r="D140" i="34"/>
  <c r="D139" i="34"/>
  <c r="D138" i="34"/>
  <c r="D137" i="34"/>
  <c r="D136" i="34"/>
  <c r="D135" i="34"/>
  <c r="D134" i="34"/>
  <c r="D133" i="34"/>
  <c r="D132" i="34"/>
  <c r="D131" i="34"/>
  <c r="D130" i="34"/>
  <c r="D129" i="34"/>
  <c r="D128" i="34"/>
  <c r="D127" i="34"/>
  <c r="D126" i="34"/>
  <c r="D125" i="34"/>
  <c r="D124" i="34"/>
  <c r="D123" i="34"/>
  <c r="D122" i="34"/>
  <c r="D121" i="34"/>
  <c r="D120" i="34"/>
  <c r="D119" i="34"/>
  <c r="D118" i="34"/>
  <c r="D117" i="34"/>
  <c r="D116" i="34"/>
  <c r="D115" i="34"/>
  <c r="D114" i="34"/>
  <c r="D113" i="34"/>
  <c r="D112" i="34"/>
  <c r="D111" i="34"/>
  <c r="D110" i="34"/>
  <c r="D109" i="34"/>
  <c r="D108" i="34"/>
  <c r="D107" i="34"/>
  <c r="D106" i="34"/>
  <c r="D105" i="34"/>
  <c r="D104" i="34"/>
  <c r="D103" i="34"/>
  <c r="D102" i="34"/>
  <c r="D101" i="34"/>
  <c r="D100" i="34"/>
  <c r="D99" i="34"/>
  <c r="D98" i="34"/>
  <c r="D97" i="34"/>
  <c r="D96" i="34"/>
  <c r="D95" i="34"/>
  <c r="D94" i="34"/>
  <c r="D93" i="34"/>
  <c r="D92" i="34"/>
  <c r="D91" i="34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77" i="34"/>
  <c r="D76" i="34"/>
  <c r="D75" i="34"/>
  <c r="D74" i="34"/>
  <c r="D73" i="34"/>
  <c r="D72" i="34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N7" i="34"/>
  <c r="F246" i="34" s="1"/>
  <c r="H246" i="34" s="1"/>
  <c r="D7" i="34"/>
  <c r="N6" i="34"/>
  <c r="E246" i="34" s="1"/>
  <c r="G246" i="34" s="1"/>
  <c r="D6" i="34"/>
  <c r="K5" i="34"/>
  <c r="D5" i="34"/>
  <c r="C247" i="33"/>
  <c r="D247" i="33" s="1"/>
  <c r="I246" i="33"/>
  <c r="G246" i="33"/>
  <c r="C246" i="33"/>
  <c r="D246" i="33" s="1"/>
  <c r="I245" i="33"/>
  <c r="G245" i="33"/>
  <c r="D245" i="33"/>
  <c r="C245" i="33"/>
  <c r="I244" i="33"/>
  <c r="G244" i="33"/>
  <c r="C244" i="33"/>
  <c r="D244" i="33" s="1"/>
  <c r="I243" i="33"/>
  <c r="G243" i="33"/>
  <c r="D243" i="33"/>
  <c r="C243" i="33"/>
  <c r="I242" i="33"/>
  <c r="G242" i="33"/>
  <c r="C242" i="33"/>
  <c r="D242" i="33" s="1"/>
  <c r="I241" i="33"/>
  <c r="G241" i="33"/>
  <c r="D241" i="33"/>
  <c r="C241" i="33"/>
  <c r="I240" i="33"/>
  <c r="G240" i="33"/>
  <c r="C240" i="33"/>
  <c r="D240" i="33" s="1"/>
  <c r="I239" i="33"/>
  <c r="G239" i="33"/>
  <c r="D239" i="33"/>
  <c r="C239" i="33"/>
  <c r="I238" i="33"/>
  <c r="G238" i="33"/>
  <c r="C238" i="33"/>
  <c r="D238" i="33" s="1"/>
  <c r="I237" i="33"/>
  <c r="G237" i="33"/>
  <c r="D237" i="33"/>
  <c r="C237" i="33"/>
  <c r="I236" i="33"/>
  <c r="G236" i="33"/>
  <c r="C236" i="33"/>
  <c r="D236" i="33" s="1"/>
  <c r="I235" i="33"/>
  <c r="G235" i="33"/>
  <c r="D235" i="33"/>
  <c r="C235" i="33"/>
  <c r="I234" i="33"/>
  <c r="G234" i="33"/>
  <c r="C234" i="33"/>
  <c r="D234" i="33" s="1"/>
  <c r="I233" i="33"/>
  <c r="G233" i="33"/>
  <c r="D233" i="33"/>
  <c r="C233" i="33"/>
  <c r="I232" i="33"/>
  <c r="G232" i="33"/>
  <c r="C232" i="33"/>
  <c r="D232" i="33" s="1"/>
  <c r="I231" i="33"/>
  <c r="G231" i="33"/>
  <c r="D231" i="33"/>
  <c r="C231" i="33"/>
  <c r="I230" i="33"/>
  <c r="G230" i="33"/>
  <c r="C230" i="33"/>
  <c r="D230" i="33" s="1"/>
  <c r="I229" i="33"/>
  <c r="G229" i="33"/>
  <c r="D229" i="33"/>
  <c r="C229" i="33"/>
  <c r="I228" i="33"/>
  <c r="G228" i="33"/>
  <c r="C228" i="33"/>
  <c r="D228" i="33" s="1"/>
  <c r="I227" i="33"/>
  <c r="G227" i="33"/>
  <c r="D227" i="33"/>
  <c r="C227" i="33"/>
  <c r="I226" i="33"/>
  <c r="G226" i="33"/>
  <c r="C226" i="33"/>
  <c r="D226" i="33" s="1"/>
  <c r="I225" i="33"/>
  <c r="G225" i="33"/>
  <c r="D225" i="33"/>
  <c r="C225" i="33"/>
  <c r="I224" i="33"/>
  <c r="G224" i="33"/>
  <c r="C224" i="33"/>
  <c r="D224" i="33" s="1"/>
  <c r="I223" i="33"/>
  <c r="G223" i="33"/>
  <c r="D223" i="33"/>
  <c r="C223" i="33"/>
  <c r="I222" i="33"/>
  <c r="G222" i="33"/>
  <c r="C222" i="33"/>
  <c r="D222" i="33" s="1"/>
  <c r="I221" i="33"/>
  <c r="G221" i="33"/>
  <c r="D221" i="33"/>
  <c r="C221" i="33"/>
  <c r="I220" i="33"/>
  <c r="G220" i="33"/>
  <c r="C220" i="33"/>
  <c r="D220" i="33" s="1"/>
  <c r="I219" i="33"/>
  <c r="G219" i="33"/>
  <c r="D219" i="33"/>
  <c r="C219" i="33"/>
  <c r="I218" i="33"/>
  <c r="G218" i="33"/>
  <c r="C218" i="33"/>
  <c r="D218" i="33" s="1"/>
  <c r="I217" i="33"/>
  <c r="G217" i="33"/>
  <c r="D217" i="33"/>
  <c r="C217" i="33"/>
  <c r="I216" i="33"/>
  <c r="G216" i="33"/>
  <c r="C216" i="33"/>
  <c r="D216" i="33" s="1"/>
  <c r="I215" i="33"/>
  <c r="G215" i="33"/>
  <c r="D215" i="33"/>
  <c r="C215" i="33"/>
  <c r="I214" i="33"/>
  <c r="G214" i="33"/>
  <c r="C214" i="33"/>
  <c r="D214" i="33" s="1"/>
  <c r="I213" i="33"/>
  <c r="G213" i="33"/>
  <c r="D213" i="33"/>
  <c r="C213" i="33"/>
  <c r="I212" i="33"/>
  <c r="G212" i="33"/>
  <c r="C212" i="33"/>
  <c r="D212" i="33" s="1"/>
  <c r="I211" i="33"/>
  <c r="G211" i="33"/>
  <c r="D211" i="33"/>
  <c r="C211" i="33"/>
  <c r="I210" i="33"/>
  <c r="G210" i="33"/>
  <c r="C210" i="33"/>
  <c r="D210" i="33" s="1"/>
  <c r="I209" i="33"/>
  <c r="G209" i="33"/>
  <c r="D209" i="33"/>
  <c r="C209" i="33"/>
  <c r="I208" i="33"/>
  <c r="G208" i="33"/>
  <c r="C208" i="33"/>
  <c r="D208" i="33" s="1"/>
  <c r="I207" i="33"/>
  <c r="G207" i="33"/>
  <c r="D207" i="33"/>
  <c r="C207" i="33"/>
  <c r="I206" i="33"/>
  <c r="G206" i="33"/>
  <c r="C206" i="33"/>
  <c r="D206" i="33" s="1"/>
  <c r="I205" i="33"/>
  <c r="G205" i="33"/>
  <c r="D205" i="33"/>
  <c r="C205" i="33"/>
  <c r="I204" i="33"/>
  <c r="G204" i="33"/>
  <c r="C204" i="33"/>
  <c r="D204" i="33" s="1"/>
  <c r="I203" i="33"/>
  <c r="G203" i="33"/>
  <c r="D203" i="33"/>
  <c r="C203" i="33"/>
  <c r="I202" i="33"/>
  <c r="G202" i="33"/>
  <c r="C202" i="33"/>
  <c r="D202" i="33" s="1"/>
  <c r="I201" i="33"/>
  <c r="G201" i="33"/>
  <c r="D201" i="33"/>
  <c r="C201" i="33"/>
  <c r="I200" i="33"/>
  <c r="G200" i="33"/>
  <c r="C200" i="33"/>
  <c r="D200" i="33" s="1"/>
  <c r="I199" i="33"/>
  <c r="G199" i="33"/>
  <c r="D199" i="33"/>
  <c r="C199" i="33"/>
  <c r="I198" i="33"/>
  <c r="G198" i="33"/>
  <c r="C198" i="33"/>
  <c r="D198" i="33" s="1"/>
  <c r="I197" i="33"/>
  <c r="G197" i="33"/>
  <c r="D197" i="33"/>
  <c r="C197" i="33"/>
  <c r="I196" i="33"/>
  <c r="G196" i="33"/>
  <c r="C196" i="33"/>
  <c r="D196" i="33" s="1"/>
  <c r="I195" i="33"/>
  <c r="G195" i="33"/>
  <c r="D195" i="33"/>
  <c r="C195" i="33"/>
  <c r="I194" i="33"/>
  <c r="G194" i="33"/>
  <c r="C194" i="33"/>
  <c r="D194" i="33" s="1"/>
  <c r="I193" i="33"/>
  <c r="G193" i="33"/>
  <c r="D193" i="33"/>
  <c r="C193" i="33"/>
  <c r="I192" i="33"/>
  <c r="G192" i="33"/>
  <c r="C192" i="33"/>
  <c r="D192" i="33" s="1"/>
  <c r="I191" i="33"/>
  <c r="G191" i="33"/>
  <c r="D191" i="33"/>
  <c r="C191" i="33"/>
  <c r="I190" i="33"/>
  <c r="G190" i="33"/>
  <c r="C190" i="33"/>
  <c r="D190" i="33" s="1"/>
  <c r="I189" i="33"/>
  <c r="G189" i="33"/>
  <c r="D189" i="33"/>
  <c r="C189" i="33"/>
  <c r="I188" i="33"/>
  <c r="G188" i="33"/>
  <c r="C188" i="33"/>
  <c r="D188" i="33" s="1"/>
  <c r="I187" i="33"/>
  <c r="G187" i="33"/>
  <c r="D187" i="33"/>
  <c r="C187" i="33"/>
  <c r="I186" i="33"/>
  <c r="G186" i="33"/>
  <c r="C186" i="33"/>
  <c r="D186" i="33" s="1"/>
  <c r="I185" i="33"/>
  <c r="G185" i="33"/>
  <c r="D185" i="33"/>
  <c r="C185" i="33"/>
  <c r="I184" i="33"/>
  <c r="G184" i="33"/>
  <c r="C184" i="33"/>
  <c r="D184" i="33" s="1"/>
  <c r="I183" i="33"/>
  <c r="G183" i="33"/>
  <c r="D183" i="33"/>
  <c r="C183" i="33"/>
  <c r="I182" i="33"/>
  <c r="G182" i="33"/>
  <c r="C182" i="33"/>
  <c r="D182" i="33" s="1"/>
  <c r="I181" i="33"/>
  <c r="G181" i="33"/>
  <c r="D181" i="33"/>
  <c r="C181" i="33"/>
  <c r="I180" i="33"/>
  <c r="G180" i="33"/>
  <c r="C180" i="33"/>
  <c r="D180" i="33" s="1"/>
  <c r="I179" i="33"/>
  <c r="G179" i="33"/>
  <c r="D179" i="33"/>
  <c r="C179" i="33"/>
  <c r="I178" i="33"/>
  <c r="G178" i="33"/>
  <c r="C178" i="33"/>
  <c r="D178" i="33" s="1"/>
  <c r="I177" i="33"/>
  <c r="G177" i="33"/>
  <c r="D177" i="33"/>
  <c r="C177" i="33"/>
  <c r="I176" i="33"/>
  <c r="G176" i="33"/>
  <c r="C176" i="33"/>
  <c r="D176" i="33" s="1"/>
  <c r="I175" i="33"/>
  <c r="G175" i="33"/>
  <c r="D175" i="33"/>
  <c r="C175" i="33"/>
  <c r="I174" i="33"/>
  <c r="G174" i="33"/>
  <c r="C174" i="33"/>
  <c r="D174" i="33" s="1"/>
  <c r="I173" i="33"/>
  <c r="G173" i="33"/>
  <c r="D173" i="33"/>
  <c r="C173" i="33"/>
  <c r="I172" i="33"/>
  <c r="G172" i="33"/>
  <c r="C172" i="33"/>
  <c r="D172" i="33" s="1"/>
  <c r="I171" i="33"/>
  <c r="G171" i="33"/>
  <c r="D171" i="33"/>
  <c r="C171" i="33"/>
  <c r="I170" i="33"/>
  <c r="G170" i="33"/>
  <c r="C170" i="33"/>
  <c r="D170" i="33" s="1"/>
  <c r="I169" i="33"/>
  <c r="G169" i="33"/>
  <c r="D169" i="33"/>
  <c r="C169" i="33"/>
  <c r="I168" i="33"/>
  <c r="G168" i="33"/>
  <c r="C168" i="33"/>
  <c r="D168" i="33" s="1"/>
  <c r="I167" i="33"/>
  <c r="G167" i="33"/>
  <c r="D167" i="33"/>
  <c r="C167" i="33"/>
  <c r="I166" i="33"/>
  <c r="G166" i="33"/>
  <c r="C166" i="33"/>
  <c r="D166" i="33" s="1"/>
  <c r="I165" i="33"/>
  <c r="G165" i="33"/>
  <c r="D165" i="33"/>
  <c r="C165" i="33"/>
  <c r="I164" i="33"/>
  <c r="G164" i="33"/>
  <c r="C164" i="33"/>
  <c r="D164" i="33" s="1"/>
  <c r="I163" i="33"/>
  <c r="G163" i="33"/>
  <c r="D163" i="33"/>
  <c r="C163" i="33"/>
  <c r="I162" i="33"/>
  <c r="G162" i="33"/>
  <c r="C162" i="33"/>
  <c r="D162" i="33" s="1"/>
  <c r="I161" i="33"/>
  <c r="G161" i="33"/>
  <c r="D161" i="33"/>
  <c r="C161" i="33"/>
  <c r="I160" i="33"/>
  <c r="G160" i="33"/>
  <c r="C160" i="33"/>
  <c r="D160" i="33" s="1"/>
  <c r="I159" i="33"/>
  <c r="G159" i="33"/>
  <c r="D159" i="33"/>
  <c r="C159" i="33"/>
  <c r="I158" i="33"/>
  <c r="G158" i="33"/>
  <c r="C158" i="33"/>
  <c r="D158" i="33" s="1"/>
  <c r="I157" i="33"/>
  <c r="G157" i="33"/>
  <c r="D157" i="33"/>
  <c r="C157" i="33"/>
  <c r="I156" i="33"/>
  <c r="G156" i="33"/>
  <c r="C156" i="33"/>
  <c r="D156" i="33" s="1"/>
  <c r="I155" i="33"/>
  <c r="G155" i="33"/>
  <c r="D155" i="33"/>
  <c r="C155" i="33"/>
  <c r="I154" i="33"/>
  <c r="G154" i="33"/>
  <c r="C154" i="33"/>
  <c r="D154" i="33" s="1"/>
  <c r="I153" i="33"/>
  <c r="G153" i="33"/>
  <c r="D153" i="33"/>
  <c r="C153" i="33"/>
  <c r="I152" i="33"/>
  <c r="G152" i="33"/>
  <c r="C152" i="33"/>
  <c r="D152" i="33" s="1"/>
  <c r="I151" i="33"/>
  <c r="G151" i="33"/>
  <c r="D151" i="33"/>
  <c r="C151" i="33"/>
  <c r="I150" i="33"/>
  <c r="G150" i="33"/>
  <c r="C150" i="33"/>
  <c r="D150" i="33" s="1"/>
  <c r="I149" i="33"/>
  <c r="G149" i="33"/>
  <c r="D149" i="33"/>
  <c r="C149" i="33"/>
  <c r="I148" i="33"/>
  <c r="G148" i="33"/>
  <c r="C148" i="33"/>
  <c r="D148" i="33" s="1"/>
  <c r="I147" i="33"/>
  <c r="G147" i="33"/>
  <c r="D147" i="33"/>
  <c r="C147" i="33"/>
  <c r="I146" i="33"/>
  <c r="G146" i="33"/>
  <c r="C146" i="33"/>
  <c r="D146" i="33" s="1"/>
  <c r="I145" i="33"/>
  <c r="G145" i="33"/>
  <c r="D145" i="33"/>
  <c r="C145" i="33"/>
  <c r="I144" i="33"/>
  <c r="G144" i="33"/>
  <c r="C144" i="33"/>
  <c r="D144" i="33" s="1"/>
  <c r="I143" i="33"/>
  <c r="G143" i="33"/>
  <c r="D143" i="33"/>
  <c r="C143" i="33"/>
  <c r="I142" i="33"/>
  <c r="G142" i="33"/>
  <c r="C142" i="33"/>
  <c r="D142" i="33" s="1"/>
  <c r="I141" i="33"/>
  <c r="G141" i="33"/>
  <c r="D141" i="33"/>
  <c r="C141" i="33"/>
  <c r="I140" i="33"/>
  <c r="G140" i="33"/>
  <c r="C140" i="33"/>
  <c r="D140" i="33" s="1"/>
  <c r="I139" i="33"/>
  <c r="G139" i="33"/>
  <c r="D139" i="33"/>
  <c r="C139" i="33"/>
  <c r="I138" i="33"/>
  <c r="G138" i="33"/>
  <c r="C138" i="33"/>
  <c r="D138" i="33" s="1"/>
  <c r="I137" i="33"/>
  <c r="G137" i="33"/>
  <c r="D137" i="33"/>
  <c r="C137" i="33"/>
  <c r="I136" i="33"/>
  <c r="G136" i="33"/>
  <c r="C136" i="33"/>
  <c r="D136" i="33" s="1"/>
  <c r="I135" i="33"/>
  <c r="G135" i="33"/>
  <c r="D135" i="33"/>
  <c r="C135" i="33"/>
  <c r="I134" i="33"/>
  <c r="G134" i="33"/>
  <c r="C134" i="33"/>
  <c r="D134" i="33" s="1"/>
  <c r="I133" i="33"/>
  <c r="G133" i="33"/>
  <c r="D133" i="33"/>
  <c r="C133" i="33"/>
  <c r="I132" i="33"/>
  <c r="G132" i="33"/>
  <c r="C132" i="33"/>
  <c r="D132" i="33" s="1"/>
  <c r="I131" i="33"/>
  <c r="G131" i="33"/>
  <c r="D131" i="33"/>
  <c r="C131" i="33"/>
  <c r="I130" i="33"/>
  <c r="G130" i="33"/>
  <c r="C130" i="33"/>
  <c r="D130" i="33" s="1"/>
  <c r="I129" i="33"/>
  <c r="G129" i="33"/>
  <c r="D129" i="33"/>
  <c r="C129" i="33"/>
  <c r="I128" i="33"/>
  <c r="G128" i="33"/>
  <c r="C128" i="33"/>
  <c r="D128" i="33" s="1"/>
  <c r="I127" i="33"/>
  <c r="G127" i="33"/>
  <c r="D127" i="33"/>
  <c r="C127" i="33"/>
  <c r="I126" i="33"/>
  <c r="G126" i="33"/>
  <c r="C126" i="33"/>
  <c r="D126" i="33" s="1"/>
  <c r="I125" i="33"/>
  <c r="G125" i="33"/>
  <c r="D125" i="33"/>
  <c r="C125" i="33"/>
  <c r="I124" i="33"/>
  <c r="G124" i="33"/>
  <c r="C124" i="33"/>
  <c r="D124" i="33" s="1"/>
  <c r="I123" i="33"/>
  <c r="G123" i="33"/>
  <c r="D123" i="33"/>
  <c r="C123" i="33"/>
  <c r="I122" i="33"/>
  <c r="G122" i="33"/>
  <c r="C122" i="33"/>
  <c r="D122" i="33" s="1"/>
  <c r="I121" i="33"/>
  <c r="G121" i="33"/>
  <c r="D121" i="33"/>
  <c r="C121" i="33"/>
  <c r="I120" i="33"/>
  <c r="G120" i="33"/>
  <c r="C120" i="33"/>
  <c r="D120" i="33" s="1"/>
  <c r="I119" i="33"/>
  <c r="G119" i="33"/>
  <c r="D119" i="33"/>
  <c r="C119" i="33"/>
  <c r="I118" i="33"/>
  <c r="G118" i="33"/>
  <c r="C118" i="33"/>
  <c r="D118" i="33" s="1"/>
  <c r="I117" i="33"/>
  <c r="G117" i="33"/>
  <c r="D117" i="33"/>
  <c r="C117" i="33"/>
  <c r="I116" i="33"/>
  <c r="G116" i="33"/>
  <c r="C116" i="33"/>
  <c r="D116" i="33" s="1"/>
  <c r="I115" i="33"/>
  <c r="G115" i="33"/>
  <c r="D115" i="33"/>
  <c r="C115" i="33"/>
  <c r="I114" i="33"/>
  <c r="G114" i="33"/>
  <c r="C114" i="33"/>
  <c r="D114" i="33" s="1"/>
  <c r="I113" i="33"/>
  <c r="G113" i="33"/>
  <c r="D113" i="33"/>
  <c r="C113" i="33"/>
  <c r="I112" i="33"/>
  <c r="G112" i="33"/>
  <c r="C112" i="33"/>
  <c r="D112" i="33" s="1"/>
  <c r="I111" i="33"/>
  <c r="G111" i="33"/>
  <c r="D111" i="33"/>
  <c r="C111" i="33"/>
  <c r="I110" i="33"/>
  <c r="G110" i="33"/>
  <c r="C110" i="33"/>
  <c r="D110" i="33" s="1"/>
  <c r="I109" i="33"/>
  <c r="G109" i="33"/>
  <c r="D109" i="33"/>
  <c r="C109" i="33"/>
  <c r="I108" i="33"/>
  <c r="G108" i="33"/>
  <c r="C108" i="33"/>
  <c r="D108" i="33" s="1"/>
  <c r="I107" i="33"/>
  <c r="G107" i="33"/>
  <c r="D107" i="33"/>
  <c r="C107" i="33"/>
  <c r="I106" i="33"/>
  <c r="G106" i="33"/>
  <c r="C106" i="33"/>
  <c r="D106" i="33" s="1"/>
  <c r="I105" i="33"/>
  <c r="G105" i="33"/>
  <c r="D105" i="33"/>
  <c r="C105" i="33"/>
  <c r="I104" i="33"/>
  <c r="G104" i="33"/>
  <c r="C104" i="33"/>
  <c r="D104" i="33" s="1"/>
  <c r="I103" i="33"/>
  <c r="G103" i="33"/>
  <c r="D103" i="33"/>
  <c r="C103" i="33"/>
  <c r="I102" i="33"/>
  <c r="G102" i="33"/>
  <c r="C102" i="33"/>
  <c r="D102" i="33" s="1"/>
  <c r="I101" i="33"/>
  <c r="G101" i="33"/>
  <c r="D101" i="33"/>
  <c r="C101" i="33"/>
  <c r="I100" i="33"/>
  <c r="G100" i="33"/>
  <c r="C100" i="33"/>
  <c r="D100" i="33" s="1"/>
  <c r="I99" i="33"/>
  <c r="G99" i="33"/>
  <c r="D99" i="33"/>
  <c r="C99" i="33"/>
  <c r="I98" i="33"/>
  <c r="G98" i="33"/>
  <c r="C98" i="33"/>
  <c r="D98" i="33" s="1"/>
  <c r="I97" i="33"/>
  <c r="G97" i="33"/>
  <c r="D97" i="33"/>
  <c r="C97" i="33"/>
  <c r="I96" i="33"/>
  <c r="G96" i="33"/>
  <c r="C96" i="33"/>
  <c r="D96" i="33" s="1"/>
  <c r="I95" i="33"/>
  <c r="G95" i="33"/>
  <c r="D95" i="33"/>
  <c r="C95" i="33"/>
  <c r="I94" i="33"/>
  <c r="G94" i="33"/>
  <c r="C94" i="33"/>
  <c r="D94" i="33" s="1"/>
  <c r="I93" i="33"/>
  <c r="G93" i="33"/>
  <c r="D93" i="33"/>
  <c r="C93" i="33"/>
  <c r="I92" i="33"/>
  <c r="G92" i="33"/>
  <c r="C92" i="33"/>
  <c r="D92" i="33" s="1"/>
  <c r="I91" i="33"/>
  <c r="G91" i="33"/>
  <c r="D91" i="33"/>
  <c r="C91" i="33"/>
  <c r="I90" i="33"/>
  <c r="G90" i="33"/>
  <c r="C90" i="33"/>
  <c r="D90" i="33" s="1"/>
  <c r="I89" i="33"/>
  <c r="G89" i="33"/>
  <c r="D89" i="33"/>
  <c r="C89" i="33"/>
  <c r="I88" i="33"/>
  <c r="G88" i="33"/>
  <c r="C88" i="33"/>
  <c r="D88" i="33" s="1"/>
  <c r="I87" i="33"/>
  <c r="G87" i="33"/>
  <c r="D87" i="33"/>
  <c r="C87" i="33"/>
  <c r="I86" i="33"/>
  <c r="G86" i="33"/>
  <c r="C86" i="33"/>
  <c r="D86" i="33" s="1"/>
  <c r="I85" i="33"/>
  <c r="G85" i="33"/>
  <c r="D85" i="33"/>
  <c r="C85" i="33"/>
  <c r="I84" i="33"/>
  <c r="G84" i="33"/>
  <c r="C84" i="33"/>
  <c r="D84" i="33" s="1"/>
  <c r="I83" i="33"/>
  <c r="G83" i="33"/>
  <c r="D83" i="33"/>
  <c r="C83" i="33"/>
  <c r="I82" i="33"/>
  <c r="G82" i="33"/>
  <c r="C82" i="33"/>
  <c r="D82" i="33" s="1"/>
  <c r="I81" i="33"/>
  <c r="G81" i="33"/>
  <c r="C81" i="33"/>
  <c r="D81" i="33" s="1"/>
  <c r="I80" i="33"/>
  <c r="G80" i="33"/>
  <c r="D80" i="33"/>
  <c r="C80" i="33"/>
  <c r="I79" i="33"/>
  <c r="G79" i="33"/>
  <c r="C79" i="33"/>
  <c r="D79" i="33" s="1"/>
  <c r="I78" i="33"/>
  <c r="G78" i="33"/>
  <c r="D78" i="33"/>
  <c r="C78" i="33"/>
  <c r="I77" i="33"/>
  <c r="G77" i="33"/>
  <c r="C77" i="33"/>
  <c r="D77" i="33" s="1"/>
  <c r="I76" i="33"/>
  <c r="G76" i="33"/>
  <c r="D76" i="33"/>
  <c r="C76" i="33"/>
  <c r="I75" i="33"/>
  <c r="G75" i="33"/>
  <c r="C75" i="33"/>
  <c r="D75" i="33" s="1"/>
  <c r="I74" i="33"/>
  <c r="G74" i="33"/>
  <c r="D74" i="33"/>
  <c r="C74" i="33"/>
  <c r="I73" i="33"/>
  <c r="G73" i="33"/>
  <c r="C73" i="33"/>
  <c r="D73" i="33" s="1"/>
  <c r="I72" i="33"/>
  <c r="G72" i="33"/>
  <c r="D72" i="33"/>
  <c r="C72" i="33"/>
  <c r="I71" i="33"/>
  <c r="G71" i="33"/>
  <c r="C71" i="33"/>
  <c r="D71" i="33" s="1"/>
  <c r="I70" i="33"/>
  <c r="G70" i="33"/>
  <c r="D70" i="33"/>
  <c r="C70" i="33"/>
  <c r="I69" i="33"/>
  <c r="G69" i="33"/>
  <c r="C69" i="33"/>
  <c r="D69" i="33" s="1"/>
  <c r="I68" i="33"/>
  <c r="G68" i="33"/>
  <c r="D68" i="33"/>
  <c r="C68" i="33"/>
  <c r="I67" i="33"/>
  <c r="G67" i="33"/>
  <c r="C67" i="33"/>
  <c r="D67" i="33" s="1"/>
  <c r="I66" i="33"/>
  <c r="G66" i="33"/>
  <c r="D66" i="33"/>
  <c r="C66" i="33"/>
  <c r="I65" i="33"/>
  <c r="G65" i="33"/>
  <c r="C65" i="33"/>
  <c r="D65" i="33" s="1"/>
  <c r="I64" i="33"/>
  <c r="G64" i="33"/>
  <c r="D64" i="33"/>
  <c r="C64" i="33"/>
  <c r="I63" i="33"/>
  <c r="G63" i="33"/>
  <c r="C63" i="33"/>
  <c r="D63" i="33" s="1"/>
  <c r="I62" i="33"/>
  <c r="G62" i="33"/>
  <c r="D62" i="33"/>
  <c r="C62" i="33"/>
  <c r="I61" i="33"/>
  <c r="G61" i="33"/>
  <c r="C61" i="33"/>
  <c r="D61" i="33" s="1"/>
  <c r="I60" i="33"/>
  <c r="G60" i="33"/>
  <c r="D60" i="33"/>
  <c r="C60" i="33"/>
  <c r="I59" i="33"/>
  <c r="G59" i="33"/>
  <c r="C59" i="33"/>
  <c r="D59" i="33" s="1"/>
  <c r="I58" i="33"/>
  <c r="G58" i="33"/>
  <c r="D58" i="33"/>
  <c r="C58" i="33"/>
  <c r="I57" i="33"/>
  <c r="G57" i="33"/>
  <c r="C57" i="33"/>
  <c r="D57" i="33" s="1"/>
  <c r="I56" i="33"/>
  <c r="G56" i="33"/>
  <c r="D56" i="33"/>
  <c r="C56" i="33"/>
  <c r="I55" i="33"/>
  <c r="G55" i="33"/>
  <c r="C55" i="33"/>
  <c r="D55" i="33" s="1"/>
  <c r="I54" i="33"/>
  <c r="G54" i="33"/>
  <c r="D54" i="33"/>
  <c r="C54" i="33"/>
  <c r="I53" i="33"/>
  <c r="G53" i="33"/>
  <c r="C53" i="33"/>
  <c r="D53" i="33" s="1"/>
  <c r="I52" i="33"/>
  <c r="G52" i="33"/>
  <c r="D52" i="33"/>
  <c r="C52" i="33"/>
  <c r="I51" i="33"/>
  <c r="G51" i="33"/>
  <c r="C51" i="33"/>
  <c r="D51" i="33" s="1"/>
  <c r="I50" i="33"/>
  <c r="G50" i="33"/>
  <c r="D50" i="33"/>
  <c r="C50" i="33"/>
  <c r="I49" i="33"/>
  <c r="G49" i="33"/>
  <c r="C49" i="33"/>
  <c r="D49" i="33" s="1"/>
  <c r="I48" i="33"/>
  <c r="G48" i="33"/>
  <c r="D48" i="33"/>
  <c r="C48" i="33"/>
  <c r="I47" i="33"/>
  <c r="G47" i="33"/>
  <c r="C47" i="33"/>
  <c r="D47" i="33" s="1"/>
  <c r="I46" i="33"/>
  <c r="G46" i="33"/>
  <c r="D46" i="33"/>
  <c r="C46" i="33"/>
  <c r="I45" i="33"/>
  <c r="G45" i="33"/>
  <c r="C45" i="33"/>
  <c r="D45" i="33" s="1"/>
  <c r="I44" i="33"/>
  <c r="G44" i="33"/>
  <c r="D44" i="33"/>
  <c r="C44" i="33"/>
  <c r="I43" i="33"/>
  <c r="G43" i="33"/>
  <c r="C43" i="33"/>
  <c r="D43" i="33" s="1"/>
  <c r="I42" i="33"/>
  <c r="G42" i="33"/>
  <c r="D42" i="33"/>
  <c r="C42" i="33"/>
  <c r="I41" i="33"/>
  <c r="G41" i="33"/>
  <c r="C41" i="33"/>
  <c r="D41" i="33" s="1"/>
  <c r="I40" i="33"/>
  <c r="G40" i="33"/>
  <c r="D40" i="33"/>
  <c r="C40" i="33"/>
  <c r="I39" i="33"/>
  <c r="G39" i="33"/>
  <c r="C39" i="33"/>
  <c r="D39" i="33" s="1"/>
  <c r="I38" i="33"/>
  <c r="G38" i="33"/>
  <c r="D38" i="33"/>
  <c r="C38" i="33"/>
  <c r="I37" i="33"/>
  <c r="G37" i="33"/>
  <c r="C37" i="33"/>
  <c r="D37" i="33" s="1"/>
  <c r="I36" i="33"/>
  <c r="G36" i="33"/>
  <c r="D36" i="33"/>
  <c r="C36" i="33"/>
  <c r="I35" i="33"/>
  <c r="G35" i="33"/>
  <c r="C35" i="33"/>
  <c r="D35" i="33" s="1"/>
  <c r="I34" i="33"/>
  <c r="G34" i="33"/>
  <c r="D34" i="33"/>
  <c r="C34" i="33"/>
  <c r="I33" i="33"/>
  <c r="G33" i="33"/>
  <c r="C33" i="33"/>
  <c r="D33" i="33" s="1"/>
  <c r="I32" i="33"/>
  <c r="G32" i="33"/>
  <c r="D32" i="33"/>
  <c r="C32" i="33"/>
  <c r="I31" i="33"/>
  <c r="G31" i="33"/>
  <c r="C31" i="33"/>
  <c r="D31" i="33" s="1"/>
  <c r="I30" i="33"/>
  <c r="G30" i="33"/>
  <c r="D30" i="33"/>
  <c r="C30" i="33"/>
  <c r="I29" i="33"/>
  <c r="G29" i="33"/>
  <c r="C29" i="33"/>
  <c r="D29" i="33" s="1"/>
  <c r="I28" i="33"/>
  <c r="G28" i="33"/>
  <c r="D28" i="33"/>
  <c r="C28" i="33"/>
  <c r="I27" i="33"/>
  <c r="G27" i="33"/>
  <c r="C27" i="33"/>
  <c r="D27" i="33" s="1"/>
  <c r="I26" i="33"/>
  <c r="G26" i="33"/>
  <c r="D26" i="33"/>
  <c r="C26" i="33"/>
  <c r="I25" i="33"/>
  <c r="G25" i="33"/>
  <c r="C25" i="33"/>
  <c r="D25" i="33" s="1"/>
  <c r="I24" i="33"/>
  <c r="G24" i="33"/>
  <c r="D24" i="33"/>
  <c r="C24" i="33"/>
  <c r="I23" i="33"/>
  <c r="G23" i="33"/>
  <c r="C23" i="33"/>
  <c r="D23" i="33" s="1"/>
  <c r="I22" i="33"/>
  <c r="G22" i="33"/>
  <c r="D22" i="33"/>
  <c r="C22" i="33"/>
  <c r="I21" i="33"/>
  <c r="G21" i="33"/>
  <c r="C21" i="33"/>
  <c r="D21" i="33" s="1"/>
  <c r="I20" i="33"/>
  <c r="G20" i="33"/>
  <c r="D20" i="33"/>
  <c r="C20" i="33"/>
  <c r="I19" i="33"/>
  <c r="G19" i="33"/>
  <c r="C19" i="33"/>
  <c r="D19" i="33" s="1"/>
  <c r="I18" i="33"/>
  <c r="G18" i="33"/>
  <c r="D18" i="33"/>
  <c r="C18" i="33"/>
  <c r="I17" i="33"/>
  <c r="G17" i="33"/>
  <c r="C17" i="33"/>
  <c r="D17" i="33" s="1"/>
  <c r="I16" i="33"/>
  <c r="G16" i="33"/>
  <c r="D16" i="33"/>
  <c r="C16" i="33"/>
  <c r="I15" i="33"/>
  <c r="G15" i="33"/>
  <c r="C15" i="33"/>
  <c r="D15" i="33" s="1"/>
  <c r="I14" i="33"/>
  <c r="G14" i="33"/>
  <c r="D14" i="33"/>
  <c r="C14" i="33"/>
  <c r="I13" i="33"/>
  <c r="G13" i="33"/>
  <c r="C13" i="33"/>
  <c r="D13" i="33" s="1"/>
  <c r="I12" i="33"/>
  <c r="G12" i="33"/>
  <c r="D12" i="33"/>
  <c r="C12" i="33"/>
  <c r="I11" i="33"/>
  <c r="G11" i="33"/>
  <c r="C11" i="33"/>
  <c r="D11" i="33" s="1"/>
  <c r="I10" i="33"/>
  <c r="G10" i="33"/>
  <c r="D10" i="33"/>
  <c r="C10" i="33"/>
  <c r="I9" i="33"/>
  <c r="G9" i="33"/>
  <c r="C9" i="33"/>
  <c r="D9" i="33" s="1"/>
  <c r="T8" i="33"/>
  <c r="J247" i="33" s="1"/>
  <c r="L247" i="33" s="1"/>
  <c r="O247" i="33" s="1"/>
  <c r="I8" i="33"/>
  <c r="G8" i="33"/>
  <c r="C8" i="33"/>
  <c r="D8" i="33" s="1"/>
  <c r="T7" i="33"/>
  <c r="K247" i="33" s="1"/>
  <c r="M247" i="33" s="1"/>
  <c r="N247" i="33" s="1"/>
  <c r="Q7" i="33"/>
  <c r="Q8" i="33" s="1"/>
  <c r="Q9" i="33" s="1"/>
  <c r="Q10" i="33" s="1"/>
  <c r="Q11" i="33" s="1"/>
  <c r="Q12" i="33" s="1"/>
  <c r="Q13" i="33" s="1"/>
  <c r="Q14" i="33" s="1"/>
  <c r="Q15" i="33" s="1"/>
  <c r="Q16" i="33" s="1"/>
  <c r="Q17" i="33" s="1"/>
  <c r="Q18" i="33" s="1"/>
  <c r="Q19" i="33" s="1"/>
  <c r="Q20" i="33" s="1"/>
  <c r="Q21" i="33" s="1"/>
  <c r="Q22" i="33" s="1"/>
  <c r="Q23" i="33" s="1"/>
  <c r="Q24" i="33" s="1"/>
  <c r="Q25" i="33" s="1"/>
  <c r="Q26" i="33" s="1"/>
  <c r="Q27" i="33" s="1"/>
  <c r="Q28" i="33" s="1"/>
  <c r="Q29" i="33" s="1"/>
  <c r="Q30" i="33" s="1"/>
  <c r="Q31" i="33" s="1"/>
  <c r="Q32" i="33" s="1"/>
  <c r="Q33" i="33" s="1"/>
  <c r="Q34" i="33" s="1"/>
  <c r="Q35" i="33" s="1"/>
  <c r="Q36" i="33" s="1"/>
  <c r="Q37" i="33" s="1"/>
  <c r="Q38" i="33" s="1"/>
  <c r="Q39" i="33" s="1"/>
  <c r="Q40" i="33" s="1"/>
  <c r="Q41" i="33" s="1"/>
  <c r="Q42" i="33" s="1"/>
  <c r="Q43" i="33" s="1"/>
  <c r="Q44" i="33" s="1"/>
  <c r="Q45" i="33" s="1"/>
  <c r="Q46" i="33" s="1"/>
  <c r="Q47" i="33" s="1"/>
  <c r="Q48" i="33" s="1"/>
  <c r="Q49" i="33" s="1"/>
  <c r="Q50" i="33" s="1"/>
  <c r="Q51" i="33" s="1"/>
  <c r="Q52" i="33" s="1"/>
  <c r="Q53" i="33" s="1"/>
  <c r="Q54" i="33" s="1"/>
  <c r="Q55" i="33" s="1"/>
  <c r="Q56" i="33" s="1"/>
  <c r="Q57" i="33" s="1"/>
  <c r="Q58" i="33" s="1"/>
  <c r="Q59" i="33" s="1"/>
  <c r="Q60" i="33" s="1"/>
  <c r="Q61" i="33" s="1"/>
  <c r="Q62" i="33" s="1"/>
  <c r="Q63" i="33" s="1"/>
  <c r="Q64" i="33" s="1"/>
  <c r="Q65" i="33" s="1"/>
  <c r="Q66" i="33" s="1"/>
  <c r="Q67" i="33" s="1"/>
  <c r="Q68" i="33" s="1"/>
  <c r="Q69" i="33" s="1"/>
  <c r="Q70" i="33" s="1"/>
  <c r="Q71" i="33" s="1"/>
  <c r="Q72" i="33" s="1"/>
  <c r="Q73" i="33" s="1"/>
  <c r="Q74" i="33" s="1"/>
  <c r="Q75" i="33" s="1"/>
  <c r="Q76" i="33" s="1"/>
  <c r="Q77" i="33" s="1"/>
  <c r="Q78" i="33" s="1"/>
  <c r="Q79" i="33" s="1"/>
  <c r="Q80" i="33" s="1"/>
  <c r="Q81" i="33" s="1"/>
  <c r="Q82" i="33" s="1"/>
  <c r="Q83" i="33" s="1"/>
  <c r="Q84" i="33" s="1"/>
  <c r="Q85" i="33" s="1"/>
  <c r="Q86" i="33" s="1"/>
  <c r="Q87" i="33" s="1"/>
  <c r="Q88" i="33" s="1"/>
  <c r="Q89" i="33" s="1"/>
  <c r="Q90" i="33" s="1"/>
  <c r="Q91" i="33" s="1"/>
  <c r="Q92" i="33" s="1"/>
  <c r="Q93" i="33" s="1"/>
  <c r="Q94" i="33" s="1"/>
  <c r="Q95" i="33" s="1"/>
  <c r="Q96" i="33" s="1"/>
  <c r="Q97" i="33" s="1"/>
  <c r="Q98" i="33" s="1"/>
  <c r="Q99" i="33" s="1"/>
  <c r="Q100" i="33" s="1"/>
  <c r="Q101" i="33" s="1"/>
  <c r="Q102" i="33" s="1"/>
  <c r="Q103" i="33" s="1"/>
  <c r="Q104" i="33" s="1"/>
  <c r="Q105" i="33" s="1"/>
  <c r="Q106" i="33" s="1"/>
  <c r="Q107" i="33" s="1"/>
  <c r="Q108" i="33" s="1"/>
  <c r="Q109" i="33" s="1"/>
  <c r="Q110" i="33" s="1"/>
  <c r="Q111" i="33" s="1"/>
  <c r="Q112" i="33" s="1"/>
  <c r="Q113" i="33" s="1"/>
  <c r="Q114" i="33" s="1"/>
  <c r="Q115" i="33" s="1"/>
  <c r="Q116" i="33" s="1"/>
  <c r="Q117" i="33" s="1"/>
  <c r="Q118" i="33" s="1"/>
  <c r="Q119" i="33" s="1"/>
  <c r="Q120" i="33" s="1"/>
  <c r="Q121" i="33" s="1"/>
  <c r="Q122" i="33" s="1"/>
  <c r="Q123" i="33" s="1"/>
  <c r="Q124" i="33" s="1"/>
  <c r="Q125" i="33" s="1"/>
  <c r="Q126" i="33" s="1"/>
  <c r="Q127" i="33" s="1"/>
  <c r="Q128" i="33" s="1"/>
  <c r="Q129" i="33" s="1"/>
  <c r="Q130" i="33" s="1"/>
  <c r="Q131" i="33" s="1"/>
  <c r="Q132" i="33" s="1"/>
  <c r="Q133" i="33" s="1"/>
  <c r="Q134" i="33" s="1"/>
  <c r="Q135" i="33" s="1"/>
  <c r="Q136" i="33" s="1"/>
  <c r="Q137" i="33" s="1"/>
  <c r="Q138" i="33" s="1"/>
  <c r="Q139" i="33" s="1"/>
  <c r="Q140" i="33" s="1"/>
  <c r="Q141" i="33" s="1"/>
  <c r="Q142" i="33" s="1"/>
  <c r="Q143" i="33" s="1"/>
  <c r="Q144" i="33" s="1"/>
  <c r="Q145" i="33" s="1"/>
  <c r="Q146" i="33" s="1"/>
  <c r="Q147" i="33" s="1"/>
  <c r="Q148" i="33" s="1"/>
  <c r="Q149" i="33" s="1"/>
  <c r="Q150" i="33" s="1"/>
  <c r="Q151" i="33" s="1"/>
  <c r="Q152" i="33" s="1"/>
  <c r="Q153" i="33" s="1"/>
  <c r="Q154" i="33" s="1"/>
  <c r="Q155" i="33" s="1"/>
  <c r="Q156" i="33" s="1"/>
  <c r="Q157" i="33" s="1"/>
  <c r="Q158" i="33" s="1"/>
  <c r="Q159" i="33" s="1"/>
  <c r="Q160" i="33" s="1"/>
  <c r="Q161" i="33" s="1"/>
  <c r="Q162" i="33" s="1"/>
  <c r="Q163" i="33" s="1"/>
  <c r="Q164" i="33" s="1"/>
  <c r="Q165" i="33" s="1"/>
  <c r="Q166" i="33" s="1"/>
  <c r="Q167" i="33" s="1"/>
  <c r="Q168" i="33" s="1"/>
  <c r="Q169" i="33" s="1"/>
  <c r="Q170" i="33" s="1"/>
  <c r="Q171" i="33" s="1"/>
  <c r="Q172" i="33" s="1"/>
  <c r="Q173" i="33" s="1"/>
  <c r="Q174" i="33" s="1"/>
  <c r="Q175" i="33" s="1"/>
  <c r="Q176" i="33" s="1"/>
  <c r="Q177" i="33" s="1"/>
  <c r="Q178" i="33" s="1"/>
  <c r="Q179" i="33" s="1"/>
  <c r="Q180" i="33" s="1"/>
  <c r="Q181" i="33" s="1"/>
  <c r="Q182" i="33" s="1"/>
  <c r="Q183" i="33" s="1"/>
  <c r="Q184" i="33" s="1"/>
  <c r="Q185" i="33" s="1"/>
  <c r="Q186" i="33" s="1"/>
  <c r="Q187" i="33" s="1"/>
  <c r="Q188" i="33" s="1"/>
  <c r="Q189" i="33" s="1"/>
  <c r="Q190" i="33" s="1"/>
  <c r="Q191" i="33" s="1"/>
  <c r="Q192" i="33" s="1"/>
  <c r="Q193" i="33" s="1"/>
  <c r="Q194" i="33" s="1"/>
  <c r="Q195" i="33" s="1"/>
  <c r="Q196" i="33" s="1"/>
  <c r="Q197" i="33" s="1"/>
  <c r="Q198" i="33" s="1"/>
  <c r="Q199" i="33" s="1"/>
  <c r="Q200" i="33" s="1"/>
  <c r="Q201" i="33" s="1"/>
  <c r="Q202" i="33" s="1"/>
  <c r="Q203" i="33" s="1"/>
  <c r="Q204" i="33" s="1"/>
  <c r="Q205" i="33" s="1"/>
  <c r="Q206" i="33" s="1"/>
  <c r="Q207" i="33" s="1"/>
  <c r="Q208" i="33" s="1"/>
  <c r="Q209" i="33" s="1"/>
  <c r="Q210" i="33" s="1"/>
  <c r="Q211" i="33" s="1"/>
  <c r="Q212" i="33" s="1"/>
  <c r="Q213" i="33" s="1"/>
  <c r="Q214" i="33" s="1"/>
  <c r="Q215" i="33" s="1"/>
  <c r="Q216" i="33" s="1"/>
  <c r="Q217" i="33" s="1"/>
  <c r="Q218" i="33" s="1"/>
  <c r="Q219" i="33" s="1"/>
  <c r="Q220" i="33" s="1"/>
  <c r="Q221" i="33" s="1"/>
  <c r="Q222" i="33" s="1"/>
  <c r="Q223" i="33" s="1"/>
  <c r="Q224" i="33" s="1"/>
  <c r="Q225" i="33" s="1"/>
  <c r="Q226" i="33" s="1"/>
  <c r="Q227" i="33" s="1"/>
  <c r="Q228" i="33" s="1"/>
  <c r="Q229" i="33" s="1"/>
  <c r="Q230" i="33" s="1"/>
  <c r="Q231" i="33" s="1"/>
  <c r="Q232" i="33" s="1"/>
  <c r="Q233" i="33" s="1"/>
  <c r="Q234" i="33" s="1"/>
  <c r="Q235" i="33" s="1"/>
  <c r="Q236" i="33" s="1"/>
  <c r="Q237" i="33" s="1"/>
  <c r="Q238" i="33" s="1"/>
  <c r="Q239" i="33" s="1"/>
  <c r="Q240" i="33" s="1"/>
  <c r="Q241" i="33" s="1"/>
  <c r="Q242" i="33" s="1"/>
  <c r="Q243" i="33" s="1"/>
  <c r="Q244" i="33" s="1"/>
  <c r="Q245" i="33" s="1"/>
  <c r="I7" i="33"/>
  <c r="G7" i="33"/>
  <c r="C7" i="33"/>
  <c r="D7" i="33" s="1"/>
  <c r="Q6" i="33"/>
  <c r="I6" i="33"/>
  <c r="G6" i="33"/>
  <c r="C6" i="33"/>
  <c r="D6" i="33" s="1"/>
  <c r="G5" i="33"/>
  <c r="C5" i="33"/>
  <c r="D5" i="33" s="1"/>
  <c r="K6" i="34" l="1"/>
  <c r="K7" i="34" s="1"/>
  <c r="K8" i="34" s="1"/>
  <c r="K9" i="34" s="1"/>
  <c r="K10" i="34" s="1"/>
  <c r="K11" i="34" s="1"/>
  <c r="K12" i="34" s="1"/>
  <c r="K13" i="34" s="1"/>
  <c r="K14" i="34" s="1"/>
  <c r="K15" i="34" s="1"/>
  <c r="K16" i="34" s="1"/>
  <c r="K17" i="34" s="1"/>
  <c r="K18" i="34" s="1"/>
  <c r="K19" i="34" s="1"/>
  <c r="K20" i="34" s="1"/>
  <c r="K21" i="34" s="1"/>
  <c r="K22" i="34" s="1"/>
  <c r="K23" i="34" s="1"/>
  <c r="K24" i="34" s="1"/>
  <c r="K25" i="34" s="1"/>
  <c r="K26" i="34" s="1"/>
  <c r="K27" i="34" s="1"/>
  <c r="K28" i="34" s="1"/>
  <c r="K29" i="34" s="1"/>
  <c r="K30" i="34" s="1"/>
  <c r="K31" i="34" s="1"/>
  <c r="K32" i="34" s="1"/>
  <c r="K33" i="34" s="1"/>
  <c r="K34" i="34" s="1"/>
  <c r="K35" i="34" s="1"/>
  <c r="K36" i="34" s="1"/>
  <c r="K37" i="34" s="1"/>
  <c r="K38" i="34" s="1"/>
  <c r="K39" i="34" s="1"/>
  <c r="K40" i="34" s="1"/>
  <c r="K41" i="34" s="1"/>
  <c r="K42" i="34" s="1"/>
  <c r="K43" i="34" s="1"/>
  <c r="K44" i="34" s="1"/>
  <c r="K45" i="34" s="1"/>
  <c r="K46" i="34" s="1"/>
  <c r="K47" i="34" s="1"/>
  <c r="K48" i="34" s="1"/>
  <c r="K49" i="34" s="1"/>
  <c r="K50" i="34" s="1"/>
  <c r="K51" i="34" s="1"/>
  <c r="K52" i="34" s="1"/>
  <c r="K53" i="34" s="1"/>
  <c r="K54" i="34" s="1"/>
  <c r="K55" i="34" s="1"/>
  <c r="K56" i="34" s="1"/>
  <c r="K57" i="34" s="1"/>
  <c r="K58" i="34" s="1"/>
  <c r="K59" i="34" s="1"/>
  <c r="K60" i="34" s="1"/>
  <c r="K61" i="34" s="1"/>
  <c r="K62" i="34" s="1"/>
  <c r="K63" i="34" s="1"/>
  <c r="K64" i="34" s="1"/>
  <c r="K65" i="34" s="1"/>
  <c r="K66" i="34" s="1"/>
  <c r="K67" i="34" s="1"/>
  <c r="K68" i="34" s="1"/>
  <c r="K69" i="34" s="1"/>
  <c r="K70" i="34" s="1"/>
  <c r="K71" i="34" s="1"/>
  <c r="K72" i="34" s="1"/>
  <c r="K73" i="34" s="1"/>
  <c r="K74" i="34" s="1"/>
  <c r="K75" i="34" s="1"/>
  <c r="K76" i="34" s="1"/>
  <c r="K77" i="34" s="1"/>
  <c r="K78" i="34" s="1"/>
  <c r="K79" i="34" s="1"/>
  <c r="K80" i="34" s="1"/>
  <c r="K81" i="34" s="1"/>
  <c r="K82" i="34" s="1"/>
  <c r="K83" i="34" s="1"/>
  <c r="K84" i="34" s="1"/>
  <c r="K85" i="34" s="1"/>
  <c r="K86" i="34" s="1"/>
  <c r="K87" i="34" s="1"/>
  <c r="K88" i="34" s="1"/>
  <c r="K89" i="34" s="1"/>
  <c r="K90" i="34" s="1"/>
  <c r="K91" i="34" s="1"/>
  <c r="K92" i="34" s="1"/>
  <c r="K93" i="34" s="1"/>
  <c r="K94" i="34" s="1"/>
  <c r="K95" i="34" s="1"/>
  <c r="K96" i="34" s="1"/>
  <c r="K97" i="34" s="1"/>
  <c r="K98" i="34" s="1"/>
  <c r="K99" i="34" s="1"/>
  <c r="K100" i="34" s="1"/>
  <c r="K101" i="34" s="1"/>
  <c r="K102" i="34" s="1"/>
  <c r="K103" i="34" s="1"/>
  <c r="K104" i="34" s="1"/>
  <c r="K105" i="34" s="1"/>
  <c r="K106" i="34" s="1"/>
  <c r="K107" i="34" s="1"/>
  <c r="K108" i="34" s="1"/>
  <c r="K109" i="34" s="1"/>
  <c r="K110" i="34" s="1"/>
  <c r="K111" i="34" s="1"/>
  <c r="K112" i="34" s="1"/>
  <c r="K113" i="34" s="1"/>
  <c r="K114" i="34" s="1"/>
  <c r="K115" i="34" s="1"/>
  <c r="K116" i="34" s="1"/>
  <c r="K117" i="34" s="1"/>
  <c r="K118" i="34" s="1"/>
  <c r="K119" i="34" s="1"/>
  <c r="K120" i="34" s="1"/>
  <c r="K121" i="34" s="1"/>
  <c r="K122" i="34" s="1"/>
  <c r="K123" i="34" s="1"/>
  <c r="K124" i="34" s="1"/>
  <c r="K125" i="34" s="1"/>
  <c r="K126" i="34" s="1"/>
  <c r="K127" i="34" s="1"/>
  <c r="K128" i="34" s="1"/>
  <c r="K129" i="34" s="1"/>
  <c r="K130" i="34" s="1"/>
  <c r="K131" i="34" s="1"/>
  <c r="K132" i="34" s="1"/>
  <c r="K133" i="34" s="1"/>
  <c r="K134" i="34" s="1"/>
  <c r="K135" i="34" s="1"/>
  <c r="K136" i="34" s="1"/>
  <c r="K137" i="34" s="1"/>
  <c r="K138" i="34" s="1"/>
  <c r="K139" i="34" s="1"/>
  <c r="K140" i="34" s="1"/>
  <c r="K141" i="34" s="1"/>
  <c r="K142" i="34" s="1"/>
  <c r="K143" i="34" s="1"/>
  <c r="K144" i="34" s="1"/>
  <c r="K145" i="34" s="1"/>
  <c r="K146" i="34" s="1"/>
  <c r="K147" i="34" s="1"/>
  <c r="K148" i="34" s="1"/>
  <c r="K149" i="34" s="1"/>
  <c r="K150" i="34" s="1"/>
  <c r="K151" i="34" s="1"/>
  <c r="K152" i="34" s="1"/>
  <c r="K153" i="34" s="1"/>
  <c r="K154" i="34" s="1"/>
  <c r="K155" i="34" s="1"/>
  <c r="K156" i="34" s="1"/>
  <c r="K157" i="34" s="1"/>
  <c r="K158" i="34" s="1"/>
  <c r="K159" i="34" s="1"/>
  <c r="K160" i="34" s="1"/>
  <c r="K161" i="34" s="1"/>
  <c r="K162" i="34" s="1"/>
  <c r="K163" i="34" s="1"/>
  <c r="K164" i="34" s="1"/>
  <c r="K165" i="34" s="1"/>
  <c r="K166" i="34" s="1"/>
  <c r="K167" i="34" s="1"/>
  <c r="K168" i="34" s="1"/>
  <c r="K169" i="34" s="1"/>
  <c r="K170" i="34" s="1"/>
  <c r="K171" i="34" s="1"/>
  <c r="K172" i="34" s="1"/>
  <c r="K173" i="34" s="1"/>
  <c r="K174" i="34" s="1"/>
  <c r="K175" i="34" s="1"/>
  <c r="K176" i="34" s="1"/>
  <c r="K177" i="34" s="1"/>
  <c r="K178" i="34" s="1"/>
  <c r="K179" i="34" s="1"/>
  <c r="K180" i="34" s="1"/>
  <c r="K181" i="34" s="1"/>
  <c r="K182" i="34" s="1"/>
  <c r="K183" i="34" s="1"/>
  <c r="K184" i="34" s="1"/>
  <c r="K185" i="34" s="1"/>
  <c r="K186" i="34" s="1"/>
  <c r="K187" i="34" s="1"/>
  <c r="K188" i="34" s="1"/>
  <c r="K189" i="34" s="1"/>
  <c r="K190" i="34" s="1"/>
  <c r="K191" i="34" s="1"/>
  <c r="K192" i="34" s="1"/>
  <c r="K193" i="34" s="1"/>
  <c r="K194" i="34" s="1"/>
  <c r="K195" i="34" s="1"/>
  <c r="K196" i="34" s="1"/>
  <c r="K197" i="34" s="1"/>
  <c r="K198" i="34" s="1"/>
  <c r="K199" i="34" s="1"/>
  <c r="K200" i="34" s="1"/>
  <c r="K201" i="34" s="1"/>
  <c r="K202" i="34" s="1"/>
  <c r="K203" i="34" s="1"/>
  <c r="K204" i="34" s="1"/>
  <c r="K205" i="34" s="1"/>
  <c r="K206" i="34" s="1"/>
  <c r="K207" i="34" s="1"/>
  <c r="K208" i="34" s="1"/>
  <c r="K209" i="34" s="1"/>
  <c r="K210" i="34" s="1"/>
  <c r="K211" i="34" s="1"/>
  <c r="K212" i="34" s="1"/>
  <c r="K213" i="34" s="1"/>
  <c r="K214" i="34" s="1"/>
  <c r="K215" i="34" s="1"/>
  <c r="K216" i="34" s="1"/>
  <c r="K217" i="34" s="1"/>
  <c r="K218" i="34" s="1"/>
  <c r="K219" i="34" s="1"/>
  <c r="K220" i="34" s="1"/>
  <c r="K221" i="34" s="1"/>
  <c r="K222" i="34" s="1"/>
  <c r="K223" i="34" s="1"/>
  <c r="K224" i="34" s="1"/>
  <c r="K225" i="34" s="1"/>
  <c r="K226" i="34" s="1"/>
  <c r="K227" i="34" s="1"/>
  <c r="K228" i="34" s="1"/>
  <c r="K229" i="34" s="1"/>
  <c r="K230" i="34" s="1"/>
  <c r="K231" i="34" s="1"/>
  <c r="K232" i="34" s="1"/>
  <c r="K233" i="34" s="1"/>
  <c r="K234" i="34" s="1"/>
  <c r="K235" i="34" s="1"/>
  <c r="K236" i="34" s="1"/>
  <c r="K237" i="34" s="1"/>
  <c r="K238" i="34" s="1"/>
  <c r="K239" i="34" s="1"/>
  <c r="K240" i="34" s="1"/>
  <c r="K241" i="34" s="1"/>
  <c r="K242" i="34" s="1"/>
  <c r="K243" i="34" s="1"/>
  <c r="K244" i="34" s="1"/>
  <c r="T6" i="33"/>
  <c r="T5" i="33"/>
  <c r="N5" i="34" l="1"/>
  <c r="N4" i="34"/>
  <c r="C12" i="26" l="1"/>
  <c r="D15" i="25"/>
  <c r="D19" i="25" s="1"/>
  <c r="C16" i="24"/>
  <c r="C12" i="24"/>
  <c r="E25" i="14"/>
  <c r="C14" i="23"/>
  <c r="D13" i="22"/>
  <c r="D13" i="21"/>
  <c r="D24" i="2"/>
  <c r="E24" i="2"/>
  <c r="D25" i="2"/>
  <c r="E25" i="2"/>
  <c r="D26" i="2"/>
  <c r="E26" i="2"/>
  <c r="C12" i="20"/>
  <c r="C19" i="19"/>
  <c r="C15" i="19"/>
  <c r="C17" i="19" s="1"/>
  <c r="C17" i="18"/>
  <c r="C23" i="18" s="1"/>
  <c r="C27" i="18" s="1"/>
  <c r="C25" i="18"/>
  <c r="C16" i="18"/>
  <c r="D17" i="25" l="1"/>
  <c r="C19" i="18"/>
  <c r="C21" i="18"/>
  <c r="C32" i="16" l="1"/>
  <c r="H57" i="5" l="1"/>
  <c r="E13" i="14" l="1"/>
  <c r="E14" i="14"/>
  <c r="E15" i="14"/>
  <c r="E16" i="14"/>
  <c r="E17" i="14"/>
  <c r="E18" i="14"/>
  <c r="E19" i="14"/>
  <c r="C32" i="9"/>
  <c r="C17" i="8"/>
  <c r="F6" i="17"/>
  <c r="E7" i="17"/>
  <c r="F7" i="17" s="1"/>
  <c r="E8" i="17"/>
  <c r="F8" i="17" s="1"/>
  <c r="E9" i="17"/>
  <c r="F9" i="17" s="1"/>
  <c r="E6" i="17"/>
  <c r="G13" i="6"/>
  <c r="F11" i="17" l="1"/>
  <c r="E21" i="14"/>
  <c r="C6" i="7" l="1"/>
  <c r="G53" i="2" l="1"/>
  <c r="D21" i="6" l="1"/>
  <c r="C34" i="16" l="1"/>
  <c r="H21" i="16"/>
  <c r="H22" i="16" l="1"/>
  <c r="H23" i="16" s="1"/>
  <c r="H24" i="16" s="1"/>
  <c r="H25" i="16" l="1"/>
  <c r="H26" i="16" l="1"/>
  <c r="H27" i="16" l="1"/>
  <c r="H28" i="16" l="1"/>
  <c r="C22" i="16" l="1"/>
  <c r="C23" i="16"/>
  <c r="F23" i="16" s="1"/>
  <c r="E23" i="16" s="1"/>
  <c r="C24" i="16"/>
  <c r="F24" i="16" s="1"/>
  <c r="E24" i="16" s="1"/>
  <c r="C25" i="16"/>
  <c r="F25" i="16" s="1"/>
  <c r="E25" i="16" s="1"/>
  <c r="C26" i="16"/>
  <c r="F26" i="16" s="1"/>
  <c r="E26" i="16" s="1"/>
  <c r="C27" i="16"/>
  <c r="F27" i="16" s="1"/>
  <c r="E27" i="16" s="1"/>
  <c r="C28" i="16"/>
  <c r="F28" i="16" s="1"/>
  <c r="E28" i="16" s="1"/>
  <c r="C21" i="16"/>
  <c r="D22" i="16"/>
  <c r="D23" i="16"/>
  <c r="I23" i="16" s="1"/>
  <c r="D24" i="16"/>
  <c r="I24" i="16" s="1"/>
  <c r="D25" i="16"/>
  <c r="D26" i="16"/>
  <c r="I26" i="16" s="1"/>
  <c r="D27" i="16"/>
  <c r="I27" i="16" s="1"/>
  <c r="D28" i="16"/>
  <c r="D21" i="16"/>
  <c r="F21" i="16" l="1"/>
  <c r="E21" i="16" s="1"/>
  <c r="I21" i="16" s="1"/>
  <c r="F22" i="16"/>
  <c r="E22" i="16" s="1"/>
  <c r="I22" i="16" s="1"/>
  <c r="I28" i="16"/>
  <c r="I25" i="16"/>
  <c r="C56" i="5"/>
  <c r="C54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28" i="5"/>
  <c r="D27" i="5"/>
  <c r="D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26" i="5"/>
  <c r="G27" i="5" l="1"/>
  <c r="I29" i="16"/>
  <c r="G29" i="5"/>
  <c r="G28" i="5"/>
  <c r="H28" i="5" s="1"/>
  <c r="G26" i="5"/>
  <c r="H26" i="5" s="1"/>
  <c r="H27" i="5"/>
  <c r="G43" i="5"/>
  <c r="G47" i="5"/>
  <c r="H47" i="5" s="1"/>
  <c r="G42" i="5"/>
  <c r="H42" i="5" s="1"/>
  <c r="G38" i="5"/>
  <c r="H38" i="5" s="1"/>
  <c r="G34" i="5"/>
  <c r="G30" i="5"/>
  <c r="H30" i="5" s="1"/>
  <c r="G46" i="5"/>
  <c r="H46" i="5" s="1"/>
  <c r="G41" i="5"/>
  <c r="H41" i="5" s="1"/>
  <c r="G37" i="5"/>
  <c r="H37" i="5" s="1"/>
  <c r="G33" i="5"/>
  <c r="H33" i="5" s="1"/>
  <c r="G49" i="5"/>
  <c r="H43" i="5"/>
  <c r="H29" i="5"/>
  <c r="G45" i="5"/>
  <c r="H45" i="5" s="1"/>
  <c r="G40" i="5"/>
  <c r="H40" i="5" s="1"/>
  <c r="G36" i="5"/>
  <c r="H36" i="5" s="1"/>
  <c r="G32" i="5"/>
  <c r="H32" i="5" s="1"/>
  <c r="H49" i="5"/>
  <c r="H34" i="5"/>
  <c r="G48" i="5"/>
  <c r="H48" i="5" s="1"/>
  <c r="G44" i="5"/>
  <c r="H44" i="5" s="1"/>
  <c r="G39" i="5"/>
  <c r="H39" i="5" s="1"/>
  <c r="G35" i="5"/>
  <c r="H35" i="5" s="1"/>
  <c r="G31" i="5"/>
  <c r="H31" i="5" s="1"/>
  <c r="C18" i="9"/>
  <c r="E24" i="9"/>
  <c r="E25" i="9"/>
  <c r="E26" i="9"/>
  <c r="E27" i="9"/>
  <c r="E28" i="9"/>
  <c r="E23" i="9"/>
  <c r="D25" i="9"/>
  <c r="D26" i="9"/>
  <c r="D27" i="9"/>
  <c r="D28" i="9"/>
  <c r="D24" i="9"/>
  <c r="D23" i="9"/>
  <c r="C23" i="6"/>
  <c r="C22" i="6"/>
  <c r="C21" i="6"/>
  <c r="F21" i="6" s="1"/>
  <c r="D23" i="6"/>
  <c r="D22" i="6"/>
  <c r="E11" i="3"/>
  <c r="F11" i="3" s="1"/>
  <c r="E12" i="3"/>
  <c r="F12" i="3" s="1"/>
  <c r="E13" i="3"/>
  <c r="F13" i="3" s="1"/>
  <c r="E14" i="3"/>
  <c r="F14" i="3" s="1"/>
  <c r="E15" i="3"/>
  <c r="F15" i="3" s="1"/>
  <c r="E10" i="3"/>
  <c r="F10" i="3" s="1"/>
  <c r="G52" i="2"/>
  <c r="D27" i="2"/>
  <c r="G27" i="2" s="1"/>
  <c r="D28" i="2"/>
  <c r="G28" i="2" s="1"/>
  <c r="D29" i="2"/>
  <c r="G29" i="2" s="1"/>
  <c r="D30" i="2"/>
  <c r="G30" i="2" s="1"/>
  <c r="D31" i="2"/>
  <c r="G31" i="2" s="1"/>
  <c r="D32" i="2"/>
  <c r="G32" i="2" s="1"/>
  <c r="D33" i="2"/>
  <c r="G33" i="2" s="1"/>
  <c r="D34" i="2"/>
  <c r="G34" i="2" s="1"/>
  <c r="D35" i="2"/>
  <c r="G35" i="2" s="1"/>
  <c r="D36" i="2"/>
  <c r="G36" i="2" s="1"/>
  <c r="D37" i="2"/>
  <c r="G37" i="2" s="1"/>
  <c r="D38" i="2"/>
  <c r="G38" i="2" s="1"/>
  <c r="D39" i="2"/>
  <c r="G39" i="2" s="1"/>
  <c r="D40" i="2"/>
  <c r="G40" i="2" s="1"/>
  <c r="D41" i="2"/>
  <c r="G41" i="2" s="1"/>
  <c r="D42" i="2"/>
  <c r="G42" i="2" s="1"/>
  <c r="D43" i="2"/>
  <c r="G43" i="2" s="1"/>
  <c r="D44" i="2"/>
  <c r="G44" i="2" s="1"/>
  <c r="D45" i="2"/>
  <c r="G45" i="2" s="1"/>
  <c r="D46" i="2"/>
  <c r="G46" i="2" s="1"/>
  <c r="D47" i="2"/>
  <c r="G47" i="2" s="1"/>
  <c r="E27" i="2"/>
  <c r="E28" i="2"/>
  <c r="E29" i="2"/>
  <c r="E30" i="2"/>
  <c r="E31" i="2"/>
  <c r="H31" i="2" s="1"/>
  <c r="E32" i="2"/>
  <c r="E33" i="2"/>
  <c r="E34" i="2"/>
  <c r="E35" i="2"/>
  <c r="H35" i="2" s="1"/>
  <c r="E36" i="2"/>
  <c r="E37" i="2"/>
  <c r="E38" i="2"/>
  <c r="E39" i="2"/>
  <c r="H39" i="2" s="1"/>
  <c r="E40" i="2"/>
  <c r="E41" i="2"/>
  <c r="E42" i="2"/>
  <c r="E43" i="2"/>
  <c r="H43" i="2" s="1"/>
  <c r="E44" i="2"/>
  <c r="E45" i="2"/>
  <c r="E46" i="2"/>
  <c r="E47" i="2"/>
  <c r="H47" i="2" s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8" i="1"/>
  <c r="D19" i="1"/>
  <c r="F19" i="1" s="1"/>
  <c r="D20" i="1"/>
  <c r="F20" i="1" s="1"/>
  <c r="D21" i="1"/>
  <c r="D22" i="1"/>
  <c r="F22" i="1" s="1"/>
  <c r="D23" i="1"/>
  <c r="D24" i="1"/>
  <c r="D25" i="1"/>
  <c r="D26" i="1"/>
  <c r="F26" i="1" s="1"/>
  <c r="D27" i="1"/>
  <c r="D28" i="1"/>
  <c r="F28" i="1" s="1"/>
  <c r="D29" i="1"/>
  <c r="D30" i="1"/>
  <c r="F30" i="1" s="1"/>
  <c r="D31" i="1"/>
  <c r="D32" i="1"/>
  <c r="F32" i="1" s="1"/>
  <c r="D18" i="1"/>
  <c r="F23" i="9" l="1"/>
  <c r="G23" i="9" s="1"/>
  <c r="H44" i="2"/>
  <c r="H40" i="2"/>
  <c r="H36" i="2"/>
  <c r="H32" i="2"/>
  <c r="H28" i="2"/>
  <c r="H45" i="2"/>
  <c r="H41" i="2"/>
  <c r="H37" i="2"/>
  <c r="H33" i="2"/>
  <c r="H29" i="2"/>
  <c r="G25" i="2"/>
  <c r="H25" i="2" s="1"/>
  <c r="G26" i="2"/>
  <c r="H26" i="2" s="1"/>
  <c r="G24" i="2"/>
  <c r="H24" i="2" s="1"/>
  <c r="H46" i="2"/>
  <c r="H42" i="2"/>
  <c r="H38" i="2"/>
  <c r="H34" i="2"/>
  <c r="H30" i="2"/>
  <c r="H27" i="2"/>
  <c r="G18" i="1"/>
  <c r="H50" i="5"/>
  <c r="F24" i="1"/>
  <c r="F31" i="1"/>
  <c r="F28" i="9"/>
  <c r="G28" i="9" s="1"/>
  <c r="F29" i="1"/>
  <c r="F27" i="1"/>
  <c r="F25" i="1"/>
  <c r="F23" i="1"/>
  <c r="F22" i="6"/>
  <c r="G22" i="6" s="1"/>
  <c r="G21" i="6"/>
  <c r="F21" i="1"/>
  <c r="F27" i="9"/>
  <c r="G27" i="9" s="1"/>
  <c r="F26" i="9"/>
  <c r="G26" i="9" s="1"/>
  <c r="F25" i="9"/>
  <c r="G25" i="9" s="1"/>
  <c r="F24" i="9"/>
  <c r="G24" i="9" s="1"/>
  <c r="F23" i="6"/>
  <c r="G23" i="6" s="1"/>
  <c r="G32" i="1"/>
  <c r="G29" i="9" l="1"/>
  <c r="G25" i="6"/>
  <c r="G26" i="6" s="1"/>
  <c r="H49" i="2"/>
  <c r="H50" i="2" s="1"/>
  <c r="G31" i="1"/>
  <c r="G19" i="1"/>
  <c r="G27" i="1"/>
  <c r="G29" i="1"/>
  <c r="G20" i="1"/>
  <c r="G23" i="1"/>
  <c r="G22" i="1"/>
  <c r="G26" i="1"/>
  <c r="G21" i="1"/>
  <c r="G24" i="1"/>
  <c r="G30" i="1"/>
  <c r="G28" i="1"/>
  <c r="G25" i="1"/>
  <c r="G35" i="1" l="1"/>
  <c r="G36" i="1" s="1"/>
  <c r="F35" i="11"/>
  <c r="H35" i="11" s="1"/>
  <c r="F37" i="11"/>
  <c r="H37" i="11" s="1"/>
  <c r="F34" i="11"/>
  <c r="H34" i="11" s="1"/>
  <c r="F32" i="11"/>
  <c r="H32" i="11" s="1"/>
  <c r="F30" i="11"/>
  <c r="H30" i="11" s="1"/>
  <c r="F27" i="11"/>
  <c r="H27" i="11" s="1"/>
  <c r="F24" i="11"/>
  <c r="H24" i="11" s="1"/>
  <c r="F19" i="11"/>
  <c r="H19" i="11" s="1"/>
  <c r="F16" i="11"/>
  <c r="H16" i="11" s="1"/>
  <c r="F12" i="11"/>
  <c r="G12" i="11"/>
  <c r="H12" i="11" l="1"/>
  <c r="H39" i="11" s="1"/>
  <c r="F17" i="3"/>
</calcChain>
</file>

<file path=xl/sharedStrings.xml><?xml version="1.0" encoding="utf-8"?>
<sst xmlns="http://schemas.openxmlformats.org/spreadsheetml/2006/main" count="517" uniqueCount="332">
  <si>
    <t>Número de Cupón</t>
  </si>
  <si>
    <t>Días al Vencimiento</t>
  </si>
  <si>
    <t>Valor Flujo</t>
  </si>
  <si>
    <t>Valor Presente Compuesto</t>
  </si>
  <si>
    <t>15*</t>
  </si>
  <si>
    <t>Precio de Transacción</t>
  </si>
  <si>
    <t>Tasa</t>
  </si>
  <si>
    <t>TIR</t>
  </si>
  <si>
    <t>No. de Cupón</t>
  </si>
  <si>
    <t>Valor Presente</t>
  </si>
  <si>
    <t>24*</t>
  </si>
  <si>
    <t>NUMERO DE TRANSACCIÓN DEL DÍA T</t>
  </si>
  <si>
    <t>TIR DE</t>
  </si>
  <si>
    <t>TRANSACCIÓN ANUAL*</t>
  </si>
  <si>
    <t>MONTO TRANSADO$</t>
  </si>
  <si>
    <t>PONDERACIÓN</t>
  </si>
  <si>
    <t>SUMATORIA</t>
  </si>
  <si>
    <t xml:space="preserve">Monto Total </t>
  </si>
  <si>
    <t>TIR del Instrumento</t>
  </si>
  <si>
    <t>No. Instrumento</t>
  </si>
  <si>
    <t>TIR Instrumento*</t>
  </si>
  <si>
    <t>Monto Transado por Instrumento</t>
  </si>
  <si>
    <t>RESULTADO</t>
  </si>
  <si>
    <t>Monto Total por Familia</t>
  </si>
  <si>
    <t>TIR de Familia**</t>
  </si>
  <si>
    <t>Días al Venc.</t>
  </si>
  <si>
    <t>Tasa de interes</t>
  </si>
  <si>
    <t>VPC1</t>
  </si>
  <si>
    <t>VPC2</t>
  </si>
  <si>
    <t>VPC3</t>
  </si>
  <si>
    <t>Valor Cupon</t>
  </si>
  <si>
    <t>Fecha valorizacion</t>
  </si>
  <si>
    <t>Pek</t>
  </si>
  <si>
    <t>Plazo Economico</t>
  </si>
  <si>
    <t>dias</t>
  </si>
  <si>
    <t>TIRF</t>
  </si>
  <si>
    <t>TIRFdiaria</t>
  </si>
  <si>
    <t>VP</t>
  </si>
  <si>
    <t>TIRF diaria</t>
  </si>
  <si>
    <t>Precio de Valorización</t>
  </si>
  <si>
    <t>FECHA</t>
  </si>
  <si>
    <t>Precio</t>
  </si>
  <si>
    <t>Cantidades</t>
  </si>
  <si>
    <t>Día</t>
  </si>
  <si>
    <t>Precio Promedio Ponderado Día</t>
  </si>
  <si>
    <t>Cantidad Total</t>
  </si>
  <si>
    <t>Ponderación</t>
  </si>
  <si>
    <t>Días</t>
  </si>
  <si>
    <t>Numero de Cupones</t>
  </si>
  <si>
    <t>Valor cupon</t>
  </si>
  <si>
    <t>TIR Diaria</t>
  </si>
  <si>
    <t>No. de Operación</t>
  </si>
  <si>
    <t>PDSA</t>
  </si>
  <si>
    <t>Cantidad Transada</t>
  </si>
  <si>
    <t>Precio Promedio Ponderado</t>
  </si>
  <si>
    <t>Fecha</t>
  </si>
  <si>
    <t>Diaz al vencimiento</t>
  </si>
  <si>
    <t>Días al vencimiento</t>
  </si>
  <si>
    <t>Valor presente</t>
  </si>
  <si>
    <t>Pago Cupon</t>
  </si>
  <si>
    <t>Interes</t>
  </si>
  <si>
    <t>Capital</t>
  </si>
  <si>
    <t>Flujo de pago</t>
  </si>
  <si>
    <t>Saldo Insoluto</t>
  </si>
  <si>
    <t>Tasa diaria</t>
  </si>
  <si>
    <t>VP de los flujos de pago</t>
  </si>
  <si>
    <t>Días Cupon</t>
  </si>
  <si>
    <t>Tasa 1</t>
  </si>
  <si>
    <t>Tasa 2</t>
  </si>
  <si>
    <t>Cálculo de la TIR de Transacción para una obligación negociable con pago de cupón y tasa fija.</t>
  </si>
  <si>
    <t>Cálculo de la TIR de Transacción para una obligación negociable con pago de cupón y tasa reajustable</t>
  </si>
  <si>
    <t>Cálculo de la TIR del Instrumento.</t>
  </si>
  <si>
    <t>Cálculo del plazo económico</t>
  </si>
  <si>
    <t xml:space="preserve">Cálculo de la TIR de Familia </t>
  </si>
  <si>
    <t>Valorización de las obligaciones negociables con tasa de interés reajustable.</t>
  </si>
  <si>
    <t>Valorización de las obligaciones negociables que pagan intereses más capitales con anterioridad a su vencimiento</t>
  </si>
  <si>
    <t>Cálculo del precio de valorización de acciones comunes y acciones preferidas.</t>
  </si>
  <si>
    <t>Valorización con transacciones en mercados formales</t>
  </si>
  <si>
    <t>Certificado de Depósito a Plazo Fijo con pago periódico de intereses.</t>
  </si>
  <si>
    <t>Tipo de instrumento:</t>
  </si>
  <si>
    <t>Certificado de Depósito a Plazo Fijo</t>
  </si>
  <si>
    <t>Banco:</t>
  </si>
  <si>
    <t>ABC</t>
  </si>
  <si>
    <t>Código de instrumento:</t>
  </si>
  <si>
    <t>CDPABC011019</t>
  </si>
  <si>
    <t>Monto capital:</t>
  </si>
  <si>
    <t>Tasa de interés:</t>
  </si>
  <si>
    <t>Base de cálculo:</t>
  </si>
  <si>
    <t>365 días</t>
  </si>
  <si>
    <t>Fecha de apertura:</t>
  </si>
  <si>
    <t>3 de junio de 2019</t>
  </si>
  <si>
    <t>Fecha de vencimiento:</t>
  </si>
  <si>
    <t>1 de octubre de 2019</t>
  </si>
  <si>
    <t>Pago de intereses:</t>
  </si>
  <si>
    <t>Cada 30 días calendario</t>
  </si>
  <si>
    <t>Plazo (dias):</t>
  </si>
  <si>
    <t xml:space="preserve">Intereses 03/07/2019 </t>
  </si>
  <si>
    <t xml:space="preserve">Saldo valorizado03/07/2019 </t>
  </si>
  <si>
    <t>Certificado de Depósito a Plazo Fijo con pago de intereses al final del período.</t>
  </si>
  <si>
    <t>Al final del plazo</t>
  </si>
  <si>
    <t>Cálculo de la TIR de Transacción para una obligación negociable cero cupón</t>
  </si>
  <si>
    <t xml:space="preserve">Tipo de Instrumento: </t>
  </si>
  <si>
    <t>Obligación negociable colocada a descuento</t>
  </si>
  <si>
    <t xml:space="preserve">Fecha de cálculo: </t>
  </si>
  <si>
    <t>17 de agosto de 2017</t>
  </si>
  <si>
    <t xml:space="preserve">Fecha de vencimiento: </t>
  </si>
  <si>
    <t>13 de febrero de 2018</t>
  </si>
  <si>
    <t xml:space="preserve">Días al vencimiento: </t>
  </si>
  <si>
    <t>180 días</t>
  </si>
  <si>
    <t xml:space="preserve">Días en el año: </t>
  </si>
  <si>
    <t xml:space="preserve">Precio de transacción: </t>
  </si>
  <si>
    <t>0.9700000 del valor par</t>
  </si>
  <si>
    <t xml:space="preserve">Valor Facial: </t>
  </si>
  <si>
    <t>1 unidad monetaria</t>
  </si>
  <si>
    <t>TIRT</t>
  </si>
  <si>
    <t>Características del Instrumento</t>
  </si>
  <si>
    <t>Un certificado de inversión con pago de cupón y tasa fija</t>
  </si>
  <si>
    <t xml:space="preserve">Tasa cupón: </t>
  </si>
  <si>
    <t>5% anual fija</t>
  </si>
  <si>
    <t xml:space="preserve">Pago de cupón: </t>
  </si>
  <si>
    <t>Mensual, el día 20 de cada mes</t>
  </si>
  <si>
    <t>Fecha de colocación:</t>
  </si>
  <si>
    <t>20 de noviembre de 2017</t>
  </si>
  <si>
    <t>20 de febrero de 2019</t>
  </si>
  <si>
    <t>457 días</t>
  </si>
  <si>
    <t xml:space="preserve">0.9630263 del valor par </t>
  </si>
  <si>
    <t>Certificado de inversión con pago de cupón y tasa reajustable</t>
  </si>
  <si>
    <t>Trimestral, se calculará sumando a la Tasa de Interés Básica Pasiva (TIBP) a 180 días del Sistema Financiero, del mes inmediato anterior a la fecha de reajuste mas una sobretasa fija anual del 1%</t>
  </si>
  <si>
    <t xml:space="preserve">Fecha de colocación: </t>
  </si>
  <si>
    <t>25 de noviembre de 2017</t>
  </si>
  <si>
    <t xml:space="preserve">TIBP 180 octubre 2017: </t>
  </si>
  <si>
    <t xml:space="preserve">TIBP 180 noviembre 2017: </t>
  </si>
  <si>
    <t>25 de noviembre de 2019</t>
  </si>
  <si>
    <t>Mensual, el día 25 de cada mes</t>
  </si>
  <si>
    <t>Perioricidad de Reajuste:</t>
  </si>
  <si>
    <t>Trimestral</t>
  </si>
  <si>
    <t xml:space="preserve">Tasa cupones conocidos: </t>
  </si>
  <si>
    <t>5.00%, TIBP180 + 1%  o sea 4%+1% (5.00%)</t>
  </si>
  <si>
    <t xml:space="preserve">Tasa cupones desconocidos: </t>
  </si>
  <si>
    <t>5.25%, TIBP180 + 1% o sea 4.25% +1% (para efectos del procedimiento general del cálculo de la tasa de cupones desconocidos, referirse a los artículos 31, 31-A y 31-B del Reglamento de Inversiones para el Sistema de Ahorro para Pensiones)</t>
  </si>
  <si>
    <t>730 días</t>
  </si>
  <si>
    <t>0.9968000 unidades monetarias de valor facial</t>
  </si>
  <si>
    <t xml:space="preserve">Reajuste de tasas: </t>
  </si>
  <si>
    <t xml:space="preserve">Instrumento: </t>
  </si>
  <si>
    <t>Obligación negociable, colocado a descuento</t>
  </si>
  <si>
    <t xml:space="preserve">No. Transacciones: </t>
  </si>
  <si>
    <t>6 transacciones válidas registradas el día t.</t>
  </si>
  <si>
    <t>Cupon</t>
  </si>
  <si>
    <t>Flujo</t>
  </si>
  <si>
    <t>Características del instrumento:</t>
  </si>
  <si>
    <t>Certificado de inversión con pago de cupón</t>
  </si>
  <si>
    <t xml:space="preserve">Forma de pago interés: </t>
  </si>
  <si>
    <t>Mensual, el día 9 de cada mes</t>
  </si>
  <si>
    <t xml:space="preserve">Tasa interés nominal: </t>
  </si>
  <si>
    <t>4.5% anual, fija</t>
  </si>
  <si>
    <t>9 de mayo de 2018</t>
  </si>
  <si>
    <t>9 de noviembre de 2018</t>
  </si>
  <si>
    <t xml:space="preserve">No. de cupones por vencer: </t>
  </si>
  <si>
    <t xml:space="preserve">TIR del Instrumento: </t>
  </si>
  <si>
    <t>5% anual</t>
  </si>
  <si>
    <t xml:space="preserve">Fecha de valorización: </t>
  </si>
  <si>
    <t>17 de agosto de 2018</t>
  </si>
  <si>
    <t>Características del Instrumento:</t>
  </si>
  <si>
    <t xml:space="preserve">Identificación del instrumento: </t>
  </si>
  <si>
    <t>Bono u obligación colocado a descuento;</t>
  </si>
  <si>
    <t xml:space="preserve">Valor al vencimiento: </t>
  </si>
  <si>
    <t>1 unidad de dólar;</t>
  </si>
  <si>
    <t xml:space="preserve">Año calendario: </t>
  </si>
  <si>
    <t>365 días;</t>
  </si>
  <si>
    <t>457 días;</t>
  </si>
  <si>
    <t xml:space="preserve">TIRF: </t>
  </si>
  <si>
    <t>5% fija anual.</t>
  </si>
  <si>
    <t>Valorización de las obligaciones negociables con Pago de Cupón.</t>
  </si>
  <si>
    <t>Certificado de Inversión con pago de intereses periódicos</t>
  </si>
  <si>
    <t>Forma de pago:</t>
  </si>
  <si>
    <t>Mensual, el día 19 de cada mes</t>
  </si>
  <si>
    <t>1 unidad de dólar</t>
  </si>
  <si>
    <t xml:space="preserve"># de cupones por vencer: </t>
  </si>
  <si>
    <t>6 cupones</t>
  </si>
  <si>
    <t>TIR de Familia: 1</t>
  </si>
  <si>
    <t>6% fija anual</t>
  </si>
  <si>
    <t xml:space="preserve">Días al vencimiento n: </t>
  </si>
  <si>
    <t>180 días, plazo desde la fecha de cálculo</t>
  </si>
  <si>
    <t>Certificado de inversión con pago de cupón, cuya tasa de interés es reajustable;</t>
  </si>
  <si>
    <t>Trimestral, TIBP180 días del mes inmediato anterior a la fecha de colocación más una sobretasa 1%;</t>
  </si>
  <si>
    <t xml:space="preserve">TIBP180 octubre: </t>
  </si>
  <si>
    <t>4.50%;</t>
  </si>
  <si>
    <t xml:space="preserve">TIBP180 noviembre: </t>
  </si>
  <si>
    <t>4.25%;</t>
  </si>
  <si>
    <t>Mensual, el día 25 de cada mes;</t>
  </si>
  <si>
    <t>5.50%, TIBPoct + 1% [(4.5%+1%)];</t>
  </si>
  <si>
    <t>5.25%, TIBPnov+1% [(4.25+1%)];</t>
  </si>
  <si>
    <t>15 de diciembre de 2017;</t>
  </si>
  <si>
    <t>25 de noviembre de 2019;</t>
  </si>
  <si>
    <t>710 días;</t>
  </si>
  <si>
    <t xml:space="preserve">Número de cupones: </t>
  </si>
  <si>
    <t>24;</t>
  </si>
  <si>
    <t>6%;</t>
  </si>
  <si>
    <t xml:space="preserve">TIRF diaria: </t>
  </si>
  <si>
    <t>0.01596535874528500%;</t>
  </si>
  <si>
    <t xml:space="preserve">Certificado de Inversión con pago de intereses más capital; </t>
  </si>
  <si>
    <t xml:space="preserve">Forma de pago: </t>
  </si>
  <si>
    <t>Semestral, el día 20 de cada mes</t>
  </si>
  <si>
    <t>8 cupones</t>
  </si>
  <si>
    <t xml:space="preserve">1461 días, plazo desde la fecha de cálculo. </t>
  </si>
  <si>
    <t xml:space="preserve">Día de pago del dividendo: </t>
  </si>
  <si>
    <t>15 de junio de 2017;</t>
  </si>
  <si>
    <t xml:space="preserve">Día de cálculo: </t>
  </si>
  <si>
    <t xml:space="preserve">Días de transacciones válidas (n): </t>
  </si>
  <si>
    <t>10 días dentro del período del 1 al 15 de junio;</t>
  </si>
  <si>
    <t>Dividendo en efectivo:</t>
  </si>
  <si>
    <t xml:space="preserve">Precio Promedio Ponderado: </t>
  </si>
  <si>
    <t xml:space="preserve"> Características del Instrumento:</t>
  </si>
  <si>
    <t xml:space="preserve">Tipo de instrumento: </t>
  </si>
  <si>
    <t>Acciones comunes de una empresa determinada;</t>
  </si>
  <si>
    <t>Precio de la acción ajustado por pago de dividendos en efectivo</t>
  </si>
  <si>
    <t>Valorización de acciones con distribución de dividendos en forma de acciones.</t>
  </si>
  <si>
    <t>Acciones comunes emitidas por una empresa determinada;</t>
  </si>
  <si>
    <t>Precio promedio ponderado</t>
  </si>
  <si>
    <t xml:space="preserve">Dividendo en acciones: </t>
  </si>
  <si>
    <t>2 acciones por cada acción;</t>
  </si>
  <si>
    <t>El ajuste de precio se realiza aplicando la fórmula descrita en el artículo 37-A del Reglamento de Inversiones para el Sistema de Ahorro para Pensiones:</t>
  </si>
  <si>
    <t>Precio de la acción ajustado por pago de dividendos en acciones</t>
  </si>
  <si>
    <t>Valorización de las Acciones Comunes y Acciones Preferidas por Suscripción de Nuevas Acciones</t>
  </si>
  <si>
    <t>La Junta de Accionistas de la sociedad XYZ ha tomado la decisión de aumentar el capital social emitiendo 100,000 nuevas acciones, otorgándoles a los actuales accionistas el derecho preferente de suscripción de dichas acciones de la manera siguiente:</t>
  </si>
  <si>
    <t>Número actual de acciones en circulación (Nm): 1,000,000</t>
  </si>
  <si>
    <t>Valor Nominal de cada acción:  $10.00</t>
  </si>
  <si>
    <t>Ultimo precio de valorización de cada acción anterior al ejercicio de derechos preferentes de suscripción (PVk(t-1)): $12.00</t>
  </si>
  <si>
    <t>Valor de mercado de la sociedad XYZ antes del ejercicio de derechos preferentes de suscripción (Vm):1,000,000 acciones por $ 12.00=$12,000,000</t>
  </si>
  <si>
    <t>Número de nuevas acciones suscritas (N): 100,000</t>
  </si>
  <si>
    <t>Precio por acción de ejercicio de derechos preferentes de suscripción (Ps): $10.00</t>
  </si>
  <si>
    <t>Período de tiempo para el ejercicio de derechos preferentes de suscripción: 15 días, del 1 al 15 de enero.</t>
  </si>
  <si>
    <t>Derecho de suscripción de la acción k de una sociedad nacional determinada</t>
  </si>
  <si>
    <t>2 de diciembre de 2018</t>
  </si>
  <si>
    <t xml:space="preserve">PVkt: </t>
  </si>
  <si>
    <t>PVSk:</t>
  </si>
  <si>
    <t>El precio de valorización del DSA, el día 2 de diciembre de 2018, utilizando los datos de la siguiente tabla es igual a $1.25.</t>
  </si>
  <si>
    <t>al 2 de diciembre de 2018</t>
  </si>
  <si>
    <t>En caso de que no hubiera transacciones el día 2 de diciembre de 2018, el PDSA para ese día sería igual a:</t>
  </si>
  <si>
    <t>Valorización de los DSA sin transacciones en mercados formales</t>
  </si>
  <si>
    <t xml:space="preserve">PVk2dic: </t>
  </si>
  <si>
    <t xml:space="preserve">PVk3dic: </t>
  </si>
  <si>
    <t xml:space="preserve">PVSk: </t>
  </si>
  <si>
    <t xml:space="preserve">C: </t>
  </si>
  <si>
    <t xml:space="preserve"> al 3 de diciembre de 2018</t>
  </si>
  <si>
    <t>acciones nuevas por cada acción</t>
  </si>
  <si>
    <t xml:space="preserve"> al 2 de diciembre de 2018</t>
  </si>
  <si>
    <t>Para los días siguientes y a medida que no existan transacciones de los DSA en los mercados formales el precio será igual a:</t>
  </si>
  <si>
    <t>Operación de reporto</t>
  </si>
  <si>
    <t>Valor Nominal Compra:</t>
  </si>
  <si>
    <t>Rendimiento Bruto:</t>
  </si>
  <si>
    <t>Fecha liquidación operación:</t>
  </si>
  <si>
    <t>Precio base:</t>
  </si>
  <si>
    <t xml:space="preserve">Base: </t>
  </si>
  <si>
    <t xml:space="preserve">Plazo: </t>
  </si>
  <si>
    <t xml:space="preserve">Fecha de valorización:              </t>
  </si>
  <si>
    <t>Valor Inicial 23/02/2017:               </t>
  </si>
  <si>
    <t xml:space="preserve">VF 02/03/2017    </t>
  </si>
  <si>
    <t>Factor diario de devengamiento</t>
  </si>
  <si>
    <t>acciones por cada acción</t>
  </si>
  <si>
    <t>Precio de la acción ajustado por pago de dividendos en forma mixta</t>
  </si>
  <si>
    <t>Valorización de acciones con pago de dividendos en forma mixta</t>
  </si>
  <si>
    <t>Valorización de las obligaciones negociables Cero Cupón</t>
  </si>
  <si>
    <t>TIR familia diaria</t>
  </si>
  <si>
    <t>Acciones comunes de la empresa XY;</t>
  </si>
  <si>
    <t>Calculo de promedio de variaciones maximas y minimas de la serie de Retorno Logaritmico de la TIRF</t>
  </si>
  <si>
    <t>DÍA</t>
  </si>
  <si>
    <t>DIA DE SEMANA</t>
  </si>
  <si>
    <t>Precio limpio
(1 unidad monetaria)</t>
  </si>
  <si>
    <t>Plazo económico
(días)</t>
  </si>
  <si>
    <t>Duración modificada
(%)</t>
  </si>
  <si>
    <t>TIRF anualizada
(TIRF/100)</t>
  </si>
  <si>
    <t>Retornos ln TIRF anualizada
(%)</t>
  </si>
  <si>
    <t>Promedio Máximo  Percentil 90
(%)</t>
  </si>
  <si>
    <t>Promedio Máximo  Percentil 10
(%)</t>
  </si>
  <si>
    <t>Variación
Maxima positiva de la TIRF
(%)</t>
  </si>
  <si>
    <t>Variación
Maxima negativa de la TIRF
(%)</t>
  </si>
  <si>
    <t>Límite Superior
(1 unidad monetaria)</t>
  </si>
  <si>
    <t>Límite inferior
(1 unidad monetaria)</t>
  </si>
  <si>
    <t>Posición</t>
  </si>
  <si>
    <r>
      <t xml:space="preserve">Retornos LN TIRF anualizada
</t>
    </r>
    <r>
      <rPr>
        <b/>
        <sz val="8"/>
        <rFont val="Calibri"/>
        <family val="2"/>
        <scheme val="minor"/>
      </rPr>
      <t>En orden ascendente
(%)</t>
    </r>
  </si>
  <si>
    <t>Percentil</t>
  </si>
  <si>
    <t>Percentil 10</t>
  </si>
  <si>
    <t>LUNES</t>
  </si>
  <si>
    <t>SABADO</t>
  </si>
  <si>
    <t>Percentil 90</t>
  </si>
  <si>
    <t>MARTES</t>
  </si>
  <si>
    <t>DOMINGO</t>
  </si>
  <si>
    <t>Promedio Percentil (10%)</t>
  </si>
  <si>
    <t>MIERCOLES</t>
  </si>
  <si>
    <t>Promedio Percentil (90%)</t>
  </si>
  <si>
    <t>JUEVES</t>
  </si>
  <si>
    <t>VIERNES</t>
  </si>
  <si>
    <t>Lamda</t>
  </si>
  <si>
    <t>Año</t>
  </si>
  <si>
    <t>Mes</t>
  </si>
  <si>
    <t>DIA</t>
  </si>
  <si>
    <t>¿Supera el limite superior?</t>
  </si>
  <si>
    <t>¿Superior el limite inferior?</t>
  </si>
  <si>
    <t>Calculo de promedio de variaciones maximas y minimas de la serie de Retorno Logaritmico del precio limpio</t>
  </si>
  <si>
    <t>N° de observación</t>
  </si>
  <si>
    <t>Precio Limpio
USD</t>
  </si>
  <si>
    <t>Retornos logarítmicos
(%)</t>
  </si>
  <si>
    <t>Límite Inferior
USD</t>
  </si>
  <si>
    <t>Límite Superior
USD</t>
  </si>
  <si>
    <t>Precio de 
Transacción
USD</t>
  </si>
  <si>
    <r>
      <t xml:space="preserve">Retornos logarítmicos               </t>
    </r>
    <r>
      <rPr>
        <b/>
        <sz val="8"/>
        <rFont val="Calibri"/>
        <family val="2"/>
        <scheme val="minor"/>
      </rPr>
      <t>En orden ascendente
(%)</t>
    </r>
  </si>
  <si>
    <t>Decimales</t>
  </si>
  <si>
    <t>DECIMALES</t>
  </si>
  <si>
    <t>Z (99%)</t>
  </si>
  <si>
    <t>Precio EUROBONO 2029 BID
(%)</t>
  </si>
  <si>
    <t>Retorno Logaritmico del Precio
(%)</t>
  </si>
  <si>
    <t xml:space="preserve">Estimador de Varianza
</t>
  </si>
  <si>
    <t>Ancho de Banda
(%)</t>
  </si>
  <si>
    <t>Limite Superior
(%)</t>
  </si>
  <si>
    <t>Limite Inferior
(%)</t>
  </si>
  <si>
    <t>Precio de Transacción
(%)</t>
  </si>
  <si>
    <t>21 de agosto de 2017</t>
  </si>
  <si>
    <t>21 de noviembre de 2018</t>
  </si>
  <si>
    <t>23 de agosto de 2017</t>
  </si>
  <si>
    <t>19 de febrero de 2018</t>
  </si>
  <si>
    <t>20 de enero de 2018</t>
  </si>
  <si>
    <t>20 de enero de 2022</t>
  </si>
  <si>
    <t>Valorización de acciones con pago de dividendos en efectivo en base a la información siguiente:</t>
  </si>
  <si>
    <r>
      <t xml:space="preserve">Monto valorizado </t>
    </r>
    <r>
      <rPr>
        <vertAlign val="subscript"/>
        <sz val="12"/>
        <color rgb="FF000000"/>
        <rFont val="Calibri"/>
        <family val="2"/>
        <scheme val="minor"/>
      </rPr>
      <t>01/10/2019</t>
    </r>
    <r>
      <rPr>
        <sz val="12"/>
        <color rgb="FF000000"/>
        <rFont val="Calibri"/>
        <family val="2"/>
        <scheme val="minor"/>
      </rPr>
      <t xml:space="preserve"> </t>
    </r>
  </si>
  <si>
    <r>
      <t xml:space="preserve">Intereses </t>
    </r>
    <r>
      <rPr>
        <vertAlign val="subscript"/>
        <sz val="12"/>
        <color theme="1"/>
        <rFont val="Calibri"/>
        <family val="2"/>
        <scheme val="minor"/>
      </rPr>
      <t>01/10/2019</t>
    </r>
    <r>
      <rPr>
        <sz val="12"/>
        <color theme="1"/>
        <rFont val="Calibri"/>
        <family val="2"/>
        <scheme val="minor"/>
      </rPr>
      <t xml:space="preserve"> </t>
    </r>
  </si>
  <si>
    <t>Ejemplo de valorización de valores extranjeros de renta variable.</t>
  </si>
  <si>
    <t>Acciones extranjeras y Cuotas de Participación de Fondos de Inversión extranjeros.</t>
  </si>
  <si>
    <t>Cantidad de acciones o cuotas:</t>
  </si>
  <si>
    <t xml:space="preserve">Fecha de Valorización: </t>
  </si>
  <si>
    <t>Precio BID de cierre 14/07/2019</t>
  </si>
  <si>
    <t>Monto valorizado 14/07/2019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</si>
</sst>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&quot;$&quot;#,##0;[Red]\-&quot;$&quot;#,##0"/>
    <numFmt numFmtId="8" formatCode="&quot;$&quot;#,##0.00;[Red]\-&quot;$&quot;#,##0.00"/>
    <numFmt numFmtId="164" formatCode="0.000%"/>
    <numFmt numFmtId="165" formatCode="0.00000000000"/>
    <numFmt numFmtId="166" formatCode="0.0000000000000"/>
    <numFmt numFmtId="167" formatCode="0.0%"/>
    <numFmt numFmtId="168" formatCode="0.00000%"/>
    <numFmt numFmtId="169" formatCode="0.0000000"/>
    <numFmt numFmtId="170" formatCode="#,##0.0000"/>
    <numFmt numFmtId="171" formatCode="0.0"/>
    <numFmt numFmtId="172" formatCode="0.00000"/>
    <numFmt numFmtId="173" formatCode="0.00000000000000000"/>
    <numFmt numFmtId="174" formatCode="0.0000000000000000%"/>
    <numFmt numFmtId="175" formatCode="0.00000000000000000%"/>
    <numFmt numFmtId="176" formatCode="#,##0.00000000000000000"/>
    <numFmt numFmtId="177" formatCode="0.000"/>
    <numFmt numFmtId="178" formatCode="&quot;$&quot;#,##0.0000000000"/>
    <numFmt numFmtId="179" formatCode="&quot;$&quot;#,##0.000000"/>
    <numFmt numFmtId="180" formatCode="&quot;$&quot;#,##0.00"/>
    <numFmt numFmtId="181" formatCode="0.000000%"/>
    <numFmt numFmtId="182" formatCode="&quot;$&quot;#,##0.000000;[Red]\-&quot;$&quot;#,##0.000000"/>
    <numFmt numFmtId="183" formatCode="&quot;$&quot;#,##0.0000000000;[Red]\-&quot;$&quot;#,##0.0000000000"/>
    <numFmt numFmtId="184" formatCode="&quot;$&quot;#,##0.00000000000;[Red]\-&quot;$&quot;#,##0.00000000000"/>
    <numFmt numFmtId="185" formatCode="&quot;$&quot;#,##0.0000000000000;[Red]\-&quot;$&quot;#,##0.0000000000000"/>
    <numFmt numFmtId="186" formatCode="0.00000000"/>
    <numFmt numFmtId="187" formatCode="_(* #,##0.00_);_(* \(#,##0.00\);_(* &quot;-&quot;??_);_(@_)"/>
    <numFmt numFmtId="188" formatCode="0.00000000%"/>
    <numFmt numFmtId="189" formatCode="0.000000000"/>
    <numFmt numFmtId="190" formatCode="_(* #,##0.00000000_);_(* \(#,##0.00000000\);_(* &quot;-&quot;??_);_(@_)"/>
    <numFmt numFmtId="191" formatCode="_(&quot;$&quot;* #,##0.00_);_(&quot;$&quot;* \(#,##0.00\);_(&quot;$&quot;* &quot;-&quot;??_);_(@_)"/>
    <numFmt numFmtId="192" formatCode="0.0000%"/>
    <numFmt numFmtId="193" formatCode="_(* #,##0.00000000000000000_);_(* \(#,##0.00000000000000000\);_(* &quot;-&quot;??_);_(@_)"/>
    <numFmt numFmtId="194" formatCode="_(&quot;$&quot;* #,##0.00000000000000000_);_(&quot;$&quot;* \(#,##0.00000000000000000\);_(&quot;$&quot;* &quot;-&quot;??_);_(@_)"/>
    <numFmt numFmtId="195" formatCode="0.00000000000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</fills>
  <borders count="47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1" fontId="9" fillId="0" borderId="0" applyFont="0" applyFill="0" applyBorder="0" applyAlignment="0" applyProtection="0"/>
  </cellStyleXfs>
  <cellXfs count="332">
    <xf numFmtId="0" fontId="0" fillId="0" borderId="0" xfId="0"/>
    <xf numFmtId="0" fontId="2" fillId="0" borderId="0" xfId="0" applyFont="1" applyAlignment="1">
      <alignment vertical="center"/>
    </xf>
    <xf numFmtId="9" fontId="0" fillId="0" borderId="0" xfId="0" applyNumberFormat="1"/>
    <xf numFmtId="10" fontId="0" fillId="0" borderId="0" xfId="0" applyNumberFormat="1"/>
    <xf numFmtId="14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16" xfId="0" applyNumberFormat="1" applyFont="1" applyBorder="1"/>
    <xf numFmtId="0" fontId="3" fillId="0" borderId="16" xfId="0" applyFont="1" applyBorder="1"/>
    <xf numFmtId="175" fontId="0" fillId="0" borderId="0" xfId="0" applyNumberFormat="1"/>
    <xf numFmtId="176" fontId="3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5" fontId="3" fillId="0" borderId="8" xfId="0" applyNumberFormat="1" applyFont="1" applyBorder="1" applyAlignment="1">
      <alignment horizontal="center" vertical="center" wrapText="1"/>
    </xf>
    <xf numFmtId="175" fontId="3" fillId="0" borderId="9" xfId="0" applyNumberFormat="1" applyFont="1" applyBorder="1" applyAlignment="1">
      <alignment horizontal="center" vertical="center" wrapText="1"/>
    </xf>
    <xf numFmtId="169" fontId="0" fillId="0" borderId="6" xfId="0" applyNumberForma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8" fontId="0" fillId="0" borderId="0" xfId="0" applyNumberFormat="1"/>
    <xf numFmtId="8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0" fillId="0" borderId="16" xfId="0" applyFont="1" applyBorder="1"/>
    <xf numFmtId="14" fontId="0" fillId="0" borderId="16" xfId="0" applyNumberFormat="1" applyFont="1" applyBorder="1"/>
    <xf numFmtId="0" fontId="0" fillId="0" borderId="16" xfId="0" applyNumberFormat="1" applyFont="1" applyBorder="1"/>
    <xf numFmtId="173" fontId="0" fillId="0" borderId="16" xfId="0" applyNumberFormat="1" applyFont="1" applyBorder="1"/>
    <xf numFmtId="0" fontId="1" fillId="0" borderId="0" xfId="0" applyFont="1" applyAlignment="1">
      <alignment wrapText="1"/>
    </xf>
    <xf numFmtId="183" fontId="1" fillId="0" borderId="0" xfId="0" applyNumberFormat="1" applyFont="1" applyAlignment="1">
      <alignment vertical="center"/>
    </xf>
    <xf numFmtId="185" fontId="0" fillId="0" borderId="0" xfId="0" applyNumberFormat="1"/>
    <xf numFmtId="8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82" fontId="7" fillId="0" borderId="0" xfId="0" applyNumberFormat="1" applyFont="1" applyAlignment="1">
      <alignment vertical="center"/>
    </xf>
    <xf numFmtId="0" fontId="4" fillId="0" borderId="16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186" fontId="4" fillId="2" borderId="16" xfId="3" applyNumberFormat="1" applyFont="1" applyFill="1" applyBorder="1" applyAlignment="1">
      <alignment horizontal="center" vertical="center" wrapText="1"/>
    </xf>
    <xf numFmtId="186" fontId="4" fillId="3" borderId="16" xfId="3" applyNumberFormat="1" applyFont="1" applyFill="1" applyBorder="1" applyAlignment="1">
      <alignment horizontal="center" vertical="center" wrapText="1"/>
    </xf>
    <xf numFmtId="0" fontId="11" fillId="0" borderId="0" xfId="3" applyFont="1"/>
    <xf numFmtId="0" fontId="4" fillId="0" borderId="0" xfId="3" applyFont="1"/>
    <xf numFmtId="190" fontId="12" fillId="2" borderId="16" xfId="3" applyNumberFormat="1" applyFont="1" applyFill="1" applyBorder="1"/>
    <xf numFmtId="0" fontId="13" fillId="0" borderId="0" xfId="3" applyFont="1"/>
    <xf numFmtId="0" fontId="14" fillId="4" borderId="42" xfId="3" applyFont="1" applyFill="1" applyBorder="1" applyAlignment="1"/>
    <xf numFmtId="0" fontId="14" fillId="4" borderId="43" xfId="3" applyFont="1" applyFill="1" applyBorder="1" applyAlignment="1"/>
    <xf numFmtId="0" fontId="11" fillId="0" borderId="0" xfId="3" applyFont="1" applyFill="1" applyBorder="1" applyAlignment="1">
      <alignment horizontal="center" vertical="center"/>
    </xf>
    <xf numFmtId="0" fontId="14" fillId="4" borderId="16" xfId="3" applyFont="1" applyFill="1" applyBorder="1" applyAlignment="1">
      <alignment horizontal="center" vertical="center" wrapText="1"/>
    </xf>
    <xf numFmtId="0" fontId="14" fillId="4" borderId="44" xfId="3" applyFont="1" applyFill="1" applyBorder="1" applyAlignment="1">
      <alignment horizontal="center" vertical="center" wrapText="1"/>
    </xf>
    <xf numFmtId="0" fontId="10" fillId="5" borderId="16" xfId="3" applyFont="1" applyFill="1" applyBorder="1" applyAlignment="1">
      <alignment horizontal="center" vertical="center" wrapText="1"/>
    </xf>
    <xf numFmtId="2" fontId="10" fillId="2" borderId="16" xfId="3" applyNumberFormat="1" applyFont="1" applyFill="1" applyBorder="1" applyAlignment="1">
      <alignment horizontal="center" vertical="center" wrapText="1"/>
    </xf>
    <xf numFmtId="0" fontId="10" fillId="2" borderId="16" xfId="3" applyFont="1" applyFill="1" applyBorder="1" applyAlignment="1">
      <alignment horizontal="center" vertical="center" wrapText="1"/>
    </xf>
    <xf numFmtId="14" fontId="2" fillId="0" borderId="41" xfId="3" applyNumberFormat="1" applyFont="1" applyBorder="1" applyAlignment="1">
      <alignment horizontal="center"/>
    </xf>
    <xf numFmtId="0" fontId="2" fillId="0" borderId="41" xfId="3" applyFont="1" applyBorder="1" applyAlignment="1">
      <alignment horizontal="center"/>
    </xf>
    <xf numFmtId="14" fontId="2" fillId="0" borderId="16" xfId="3" applyNumberFormat="1" applyFont="1" applyBorder="1" applyAlignment="1">
      <alignment horizontal="center"/>
    </xf>
    <xf numFmtId="0" fontId="2" fillId="0" borderId="16" xfId="3" applyFont="1" applyBorder="1" applyAlignment="1">
      <alignment horizontal="center"/>
    </xf>
    <xf numFmtId="14" fontId="2" fillId="6" borderId="16" xfId="3" applyNumberFormat="1" applyFont="1" applyFill="1" applyBorder="1" applyAlignment="1">
      <alignment horizontal="center"/>
    </xf>
    <xf numFmtId="10" fontId="2" fillId="0" borderId="16" xfId="5" applyNumberFormat="1" applyFont="1" applyBorder="1" applyAlignment="1">
      <alignment horizontal="center"/>
    </xf>
    <xf numFmtId="0" fontId="2" fillId="0" borderId="16" xfId="3" applyFont="1" applyFill="1" applyBorder="1" applyAlignment="1">
      <alignment horizontal="center"/>
    </xf>
    <xf numFmtId="14" fontId="2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10" fontId="4" fillId="0" borderId="0" xfId="5" applyNumberFormat="1" applyFont="1" applyBorder="1"/>
    <xf numFmtId="10" fontId="4" fillId="0" borderId="41" xfId="5" applyNumberFormat="1" applyFont="1" applyBorder="1"/>
    <xf numFmtId="10" fontId="4" fillId="0" borderId="16" xfId="5" applyNumberFormat="1" applyFont="1" applyBorder="1"/>
    <xf numFmtId="10" fontId="4" fillId="7" borderId="16" xfId="5" applyNumberFormat="1" applyFont="1" applyFill="1" applyBorder="1" applyAlignment="1">
      <alignment horizontal="center"/>
    </xf>
    <xf numFmtId="0" fontId="4" fillId="7" borderId="16" xfId="3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center"/>
    </xf>
    <xf numFmtId="186" fontId="2" fillId="2" borderId="16" xfId="2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186" fontId="2" fillId="0" borderId="16" xfId="0" applyNumberFormat="1" applyFont="1" applyFill="1" applyBorder="1" applyAlignment="1">
      <alignment horizontal="center"/>
    </xf>
    <xf numFmtId="188" fontId="2" fillId="0" borderId="16" xfId="2" applyNumberFormat="1" applyFont="1" applyFill="1" applyBorder="1" applyAlignment="1">
      <alignment horizontal="center"/>
    </xf>
    <xf numFmtId="14" fontId="2" fillId="0" borderId="43" xfId="0" applyNumberFormat="1" applyFont="1" applyBorder="1"/>
    <xf numFmtId="14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0" fontId="2" fillId="0" borderId="16" xfId="3" applyFont="1" applyBorder="1"/>
    <xf numFmtId="0" fontId="12" fillId="0" borderId="0" xfId="3" applyFont="1" applyFill="1"/>
    <xf numFmtId="0" fontId="11" fillId="0" borderId="0" xfId="3" applyFont="1" applyFill="1"/>
    <xf numFmtId="194" fontId="2" fillId="2" borderId="16" xfId="6" applyNumberFormat="1" applyFont="1" applyFill="1" applyBorder="1" applyAlignment="1">
      <alignment horizontal="center"/>
    </xf>
    <xf numFmtId="175" fontId="2" fillId="2" borderId="16" xfId="2" applyNumberFormat="1" applyFont="1" applyFill="1" applyBorder="1" applyAlignment="1">
      <alignment horizontal="center"/>
    </xf>
    <xf numFmtId="175" fontId="2" fillId="0" borderId="16" xfId="0" applyNumberFormat="1" applyFont="1" applyBorder="1"/>
    <xf numFmtId="175" fontId="2" fillId="0" borderId="16" xfId="2" applyNumberFormat="1" applyFont="1" applyBorder="1" applyAlignment="1">
      <alignment horizontal="center"/>
    </xf>
    <xf numFmtId="173" fontId="2" fillId="0" borderId="41" xfId="3" applyNumberFormat="1" applyFont="1" applyBorder="1" applyAlignment="1">
      <alignment horizontal="center"/>
    </xf>
    <xf numFmtId="173" fontId="2" fillId="0" borderId="16" xfId="3" applyNumberFormat="1" applyFont="1" applyBorder="1" applyAlignment="1">
      <alignment horizontal="center"/>
    </xf>
    <xf numFmtId="173" fontId="2" fillId="6" borderId="16" xfId="3" applyNumberFormat="1" applyFont="1" applyFill="1" applyBorder="1" applyAlignment="1">
      <alignment horizontal="center"/>
    </xf>
    <xf numFmtId="186" fontId="4" fillId="0" borderId="16" xfId="5" applyNumberFormat="1" applyFont="1" applyBorder="1" applyAlignment="1">
      <alignment horizontal="center"/>
    </xf>
    <xf numFmtId="188" fontId="4" fillId="0" borderId="16" xfId="5" applyNumberFormat="1" applyFont="1" applyBorder="1" applyAlignment="1">
      <alignment horizontal="center"/>
    </xf>
    <xf numFmtId="175" fontId="2" fillId="0" borderId="16" xfId="5" applyNumberFormat="1" applyFont="1" applyBorder="1" applyAlignment="1">
      <alignment horizontal="center"/>
    </xf>
    <xf numFmtId="186" fontId="2" fillId="0" borderId="16" xfId="3" applyNumberFormat="1" applyFont="1" applyFill="1" applyBorder="1" applyAlignment="1">
      <alignment horizontal="center"/>
    </xf>
    <xf numFmtId="188" fontId="4" fillId="0" borderId="0" xfId="5" applyNumberFormat="1" applyFont="1" applyBorder="1"/>
    <xf numFmtId="0" fontId="2" fillId="0" borderId="0" xfId="3" applyFont="1"/>
    <xf numFmtId="0" fontId="2" fillId="0" borderId="0" xfId="3" applyFont="1" applyAlignment="1">
      <alignment horizontal="center"/>
    </xf>
    <xf numFmtId="1" fontId="2" fillId="0" borderId="0" xfId="3" applyNumberFormat="1" applyFont="1" applyAlignment="1">
      <alignment horizontal="center"/>
    </xf>
    <xf numFmtId="186" fontId="2" fillId="0" borderId="0" xfId="3" applyNumberFormat="1" applyFont="1" applyAlignment="1">
      <alignment horizontal="center"/>
    </xf>
    <xf numFmtId="0" fontId="2" fillId="0" borderId="0" xfId="3" applyFont="1" applyFill="1"/>
    <xf numFmtId="0" fontId="2" fillId="2" borderId="0" xfId="3" applyFont="1" applyFill="1"/>
    <xf numFmtId="14" fontId="2" fillId="2" borderId="16" xfId="3" applyNumberFormat="1" applyFont="1" applyFill="1" applyBorder="1" applyAlignment="1" applyProtection="1">
      <alignment horizontal="center"/>
      <protection locked="0"/>
    </xf>
    <xf numFmtId="0" fontId="2" fillId="0" borderId="16" xfId="3" applyNumberFormat="1" applyFont="1" applyBorder="1" applyAlignment="1">
      <alignment horizontal="center"/>
    </xf>
    <xf numFmtId="173" fontId="2" fillId="0" borderId="41" xfId="4" applyNumberFormat="1" applyFont="1" applyBorder="1" applyAlignment="1">
      <alignment horizontal="center"/>
    </xf>
    <xf numFmtId="186" fontId="2" fillId="0" borderId="41" xfId="3" applyNumberFormat="1" applyFont="1" applyFill="1" applyBorder="1" applyAlignment="1">
      <alignment horizontal="center"/>
    </xf>
    <xf numFmtId="175" fontId="2" fillId="0" borderId="16" xfId="3" applyNumberFormat="1" applyFont="1" applyBorder="1"/>
    <xf numFmtId="0" fontId="2" fillId="0" borderId="46" xfId="3" applyFont="1" applyBorder="1"/>
    <xf numFmtId="175" fontId="2" fillId="0" borderId="0" xfId="3" applyNumberFormat="1" applyFont="1" applyFill="1"/>
    <xf numFmtId="173" fontId="2" fillId="0" borderId="16" xfId="4" applyNumberFormat="1" applyFont="1" applyBorder="1" applyAlignment="1">
      <alignment horizontal="center"/>
    </xf>
    <xf numFmtId="175" fontId="2" fillId="0" borderId="16" xfId="3" applyNumberFormat="1" applyFont="1" applyFill="1" applyBorder="1" applyAlignment="1">
      <alignment horizontal="center"/>
    </xf>
    <xf numFmtId="10" fontId="2" fillId="0" borderId="0" xfId="3" applyNumberFormat="1" applyFont="1"/>
    <xf numFmtId="192" fontId="2" fillId="0" borderId="0" xfId="3" applyNumberFormat="1" applyFont="1"/>
    <xf numFmtId="175" fontId="2" fillId="0" borderId="0" xfId="3" applyNumberFormat="1" applyFont="1"/>
    <xf numFmtId="0" fontId="2" fillId="2" borderId="16" xfId="3" applyNumberFormat="1" applyFont="1" applyFill="1" applyBorder="1" applyAlignment="1">
      <alignment horizontal="center"/>
    </xf>
    <xf numFmtId="0" fontId="2" fillId="0" borderId="16" xfId="3" applyFont="1" applyFill="1" applyBorder="1"/>
    <xf numFmtId="0" fontId="2" fillId="3" borderId="0" xfId="3" applyFont="1" applyFill="1"/>
    <xf numFmtId="2" fontId="2" fillId="0" borderId="16" xfId="3" applyNumberFormat="1" applyFont="1" applyBorder="1"/>
    <xf numFmtId="2" fontId="2" fillId="0" borderId="16" xfId="3" applyNumberFormat="1" applyFont="1" applyBorder="1" applyAlignment="1">
      <alignment horizontal="center"/>
    </xf>
    <xf numFmtId="189" fontId="2" fillId="0" borderId="16" xfId="3" applyNumberFormat="1" applyFont="1" applyBorder="1"/>
    <xf numFmtId="189" fontId="2" fillId="0" borderId="16" xfId="3" applyNumberFormat="1" applyFont="1" applyBorder="1" applyAlignment="1">
      <alignment horizontal="center"/>
    </xf>
    <xf numFmtId="175" fontId="2" fillId="0" borderId="16" xfId="3" applyNumberFormat="1" applyFont="1" applyFill="1" applyBorder="1"/>
    <xf numFmtId="175" fontId="2" fillId="2" borderId="16" xfId="3" applyNumberFormat="1" applyFont="1" applyFill="1" applyBorder="1"/>
    <xf numFmtId="0" fontId="2" fillId="2" borderId="16" xfId="3" applyFont="1" applyFill="1" applyBorder="1"/>
    <xf numFmtId="0" fontId="2" fillId="2" borderId="16" xfId="3" applyFont="1" applyFill="1" applyBorder="1" applyAlignment="1">
      <alignment horizontal="center"/>
    </xf>
    <xf numFmtId="189" fontId="2" fillId="2" borderId="16" xfId="3" applyNumberFormat="1" applyFont="1" applyFill="1" applyBorder="1"/>
    <xf numFmtId="189" fontId="2" fillId="2" borderId="16" xfId="3" applyNumberFormat="1" applyFont="1" applyFill="1" applyBorder="1" applyAlignment="1">
      <alignment horizontal="center"/>
    </xf>
    <xf numFmtId="190" fontId="2" fillId="2" borderId="16" xfId="3" applyNumberFormat="1" applyFont="1" applyFill="1" applyBorder="1"/>
    <xf numFmtId="9" fontId="2" fillId="0" borderId="0" xfId="5" applyFont="1"/>
    <xf numFmtId="0" fontId="2" fillId="2" borderId="0" xfId="3" applyNumberFormat="1" applyFont="1" applyFill="1"/>
    <xf numFmtId="186" fontId="2" fillId="0" borderId="16" xfId="3" applyNumberFormat="1" applyFont="1" applyBorder="1" applyAlignment="1">
      <alignment horizontal="center"/>
    </xf>
    <xf numFmtId="186" fontId="2" fillId="0" borderId="41" xfId="3" applyNumberFormat="1" applyFont="1" applyBorder="1" applyAlignment="1">
      <alignment horizontal="center"/>
    </xf>
    <xf numFmtId="186" fontId="2" fillId="0" borderId="16" xfId="4" applyNumberFormat="1" applyFont="1" applyBorder="1" applyAlignment="1">
      <alignment horizontal="center"/>
    </xf>
    <xf numFmtId="188" fontId="2" fillId="0" borderId="16" xfId="3" applyNumberFormat="1" applyFont="1" applyFill="1" applyBorder="1" applyAlignment="1">
      <alignment horizontal="center"/>
    </xf>
    <xf numFmtId="175" fontId="2" fillId="2" borderId="16" xfId="3" applyNumberFormat="1" applyFont="1" applyFill="1" applyBorder="1" applyAlignment="1">
      <alignment horizontal="center"/>
    </xf>
    <xf numFmtId="193" fontId="2" fillId="2" borderId="16" xfId="3" applyNumberFormat="1" applyFont="1" applyFill="1" applyBorder="1" applyAlignment="1">
      <alignment horizontal="center"/>
    </xf>
    <xf numFmtId="188" fontId="2" fillId="2" borderId="0" xfId="3" applyNumberFormat="1" applyFont="1" applyFill="1"/>
    <xf numFmtId="14" fontId="2" fillId="0" borderId="0" xfId="3" applyNumberFormat="1" applyFont="1" applyProtection="1">
      <protection locked="0"/>
    </xf>
    <xf numFmtId="0" fontId="2" fillId="2" borderId="0" xfId="3" applyNumberFormat="1" applyFont="1" applyFill="1" applyAlignment="1">
      <alignment horizontal="center"/>
    </xf>
    <xf numFmtId="172" fontId="2" fillId="0" borderId="0" xfId="3" applyNumberFormat="1" applyFont="1" applyAlignment="1">
      <alignment horizontal="center"/>
    </xf>
    <xf numFmtId="2" fontId="2" fillId="0" borderId="0" xfId="3" applyNumberFormat="1" applyFont="1" applyAlignment="1">
      <alignment horizontal="center"/>
    </xf>
    <xf numFmtId="186" fontId="2" fillId="0" borderId="0" xfId="5" applyNumberFormat="1" applyFont="1" applyAlignment="1">
      <alignment horizontal="center"/>
    </xf>
    <xf numFmtId="186" fontId="2" fillId="0" borderId="0" xfId="3" applyNumberFormat="1" applyFont="1" applyFill="1" applyAlignment="1">
      <alignment horizontal="center"/>
    </xf>
    <xf numFmtId="189" fontId="2" fillId="2" borderId="0" xfId="3" applyNumberFormat="1" applyFont="1" applyFill="1"/>
    <xf numFmtId="189" fontId="2" fillId="2" borderId="0" xfId="3" applyNumberFormat="1" applyFont="1" applyFill="1" applyAlignment="1">
      <alignment horizontal="center"/>
    </xf>
    <xf numFmtId="190" fontId="2" fillId="2" borderId="0" xfId="3" applyNumberFormat="1" applyFont="1" applyFill="1"/>
    <xf numFmtId="10" fontId="2" fillId="2" borderId="0" xfId="3" applyNumberFormat="1" applyFont="1" applyFill="1" applyAlignment="1">
      <alignment horizontal="center"/>
    </xf>
    <xf numFmtId="0" fontId="2" fillId="2" borderId="0" xfId="3" applyFont="1" applyFill="1" applyAlignment="1">
      <alignment horizontal="center"/>
    </xf>
    <xf numFmtId="175" fontId="2" fillId="0" borderId="0" xfId="0" applyNumberFormat="1" applyFont="1"/>
    <xf numFmtId="195" fontId="2" fillId="0" borderId="16" xfId="5" applyNumberFormat="1" applyFont="1" applyBorder="1" applyAlignment="1">
      <alignment horizontal="center"/>
    </xf>
    <xf numFmtId="177" fontId="2" fillId="0" borderId="0" xfId="3" applyNumberFormat="1" applyFont="1" applyAlignment="1">
      <alignment horizontal="center"/>
    </xf>
    <xf numFmtId="9" fontId="2" fillId="0" borderId="16" xfId="3" applyNumberFormat="1" applyFont="1" applyBorder="1" applyAlignment="1">
      <alignment horizontal="center"/>
    </xf>
    <xf numFmtId="0" fontId="2" fillId="0" borderId="16" xfId="3" applyFont="1" applyBorder="1" applyAlignment="1">
      <alignment horizontal="center" vertical="center"/>
    </xf>
    <xf numFmtId="1" fontId="2" fillId="0" borderId="16" xfId="3" applyNumberFormat="1" applyFont="1" applyBorder="1"/>
    <xf numFmtId="180" fontId="2" fillId="0" borderId="16" xfId="3" applyNumberFormat="1" applyFont="1" applyBorder="1"/>
    <xf numFmtId="0" fontId="2" fillId="0" borderId="16" xfId="3" applyNumberFormat="1" applyFont="1" applyBorder="1" applyAlignment="1">
      <alignment horizontal="center" vertical="center"/>
    </xf>
    <xf numFmtId="186" fontId="2" fillId="0" borderId="41" xfId="5" applyNumberFormat="1" applyFont="1" applyBorder="1" applyAlignment="1">
      <alignment horizontal="center"/>
    </xf>
    <xf numFmtId="10" fontId="2" fillId="0" borderId="41" xfId="5" applyNumberFormat="1" applyFont="1" applyBorder="1" applyAlignment="1">
      <alignment horizontal="center"/>
    </xf>
    <xf numFmtId="175" fontId="2" fillId="2" borderId="16" xfId="5" applyNumberFormat="1" applyFont="1" applyFill="1" applyBorder="1" applyAlignment="1">
      <alignment horizontal="center"/>
    </xf>
    <xf numFmtId="186" fontId="2" fillId="0" borderId="16" xfId="5" applyNumberFormat="1" applyFont="1" applyBorder="1" applyAlignment="1">
      <alignment horizontal="center"/>
    </xf>
    <xf numFmtId="173" fontId="2" fillId="0" borderId="16" xfId="5" applyNumberFormat="1" applyFont="1" applyBorder="1" applyAlignment="1">
      <alignment horizontal="center"/>
    </xf>
    <xf numFmtId="1" fontId="2" fillId="0" borderId="45" xfId="3" applyNumberFormat="1" applyFont="1" applyBorder="1"/>
    <xf numFmtId="180" fontId="2" fillId="0" borderId="45" xfId="3" applyNumberFormat="1" applyFont="1" applyBorder="1"/>
    <xf numFmtId="0" fontId="2" fillId="0" borderId="45" xfId="3" applyNumberFormat="1" applyFont="1" applyBorder="1" applyAlignment="1">
      <alignment horizontal="center" vertical="center"/>
    </xf>
    <xf numFmtId="186" fontId="2" fillId="0" borderId="16" xfId="5" applyNumberFormat="1" applyFont="1" applyFill="1" applyBorder="1" applyAlignment="1">
      <alignment horizontal="center"/>
    </xf>
    <xf numFmtId="173" fontId="2" fillId="2" borderId="16" xfId="5" applyNumberFormat="1" applyFont="1" applyFill="1" applyBorder="1" applyAlignment="1">
      <alignment horizontal="center"/>
    </xf>
    <xf numFmtId="1" fontId="2" fillId="0" borderId="0" xfId="3" applyNumberFormat="1" applyFont="1" applyBorder="1"/>
    <xf numFmtId="180" fontId="2" fillId="0" borderId="0" xfId="3" applyNumberFormat="1" applyFont="1" applyBorder="1"/>
    <xf numFmtId="0" fontId="2" fillId="0" borderId="0" xfId="3" applyNumberFormat="1" applyFont="1" applyBorder="1" applyAlignment="1">
      <alignment horizontal="center" vertical="center"/>
    </xf>
    <xf numFmtId="10" fontId="2" fillId="0" borderId="0" xfId="5" applyNumberFormat="1" applyFont="1" applyBorder="1"/>
    <xf numFmtId="164" fontId="2" fillId="0" borderId="0" xfId="5" applyNumberFormat="1" applyFont="1" applyBorder="1"/>
    <xf numFmtId="2" fontId="2" fillId="0" borderId="0" xfId="5" applyNumberFormat="1" applyFont="1" applyBorder="1" applyAlignment="1">
      <alignment horizontal="center"/>
    </xf>
    <xf numFmtId="0" fontId="2" fillId="0" borderId="0" xfId="3" applyFont="1" applyBorder="1"/>
    <xf numFmtId="1" fontId="2" fillId="0" borderId="41" xfId="3" applyNumberFormat="1" applyFont="1" applyBorder="1"/>
    <xf numFmtId="180" fontId="2" fillId="0" borderId="41" xfId="3" applyNumberFormat="1" applyFont="1" applyBorder="1"/>
    <xf numFmtId="0" fontId="2" fillId="0" borderId="41" xfId="3" applyNumberFormat="1" applyFont="1" applyBorder="1" applyAlignment="1">
      <alignment horizontal="center" vertical="center"/>
    </xf>
    <xf numFmtId="10" fontId="2" fillId="0" borderId="41" xfId="5" applyNumberFormat="1" applyFont="1" applyBorder="1"/>
    <xf numFmtId="164" fontId="2" fillId="0" borderId="41" xfId="5" applyNumberFormat="1" applyFont="1" applyBorder="1"/>
    <xf numFmtId="2" fontId="2" fillId="0" borderId="41" xfId="5" applyNumberFormat="1" applyFont="1" applyBorder="1" applyAlignment="1">
      <alignment horizontal="center"/>
    </xf>
    <xf numFmtId="0" fontId="2" fillId="0" borderId="41" xfId="3" applyFont="1" applyBorder="1"/>
    <xf numFmtId="10" fontId="2" fillId="0" borderId="16" xfId="5" applyNumberFormat="1" applyFont="1" applyBorder="1"/>
    <xf numFmtId="164" fontId="2" fillId="0" borderId="16" xfId="5" applyNumberFormat="1" applyFont="1" applyBorder="1"/>
    <xf numFmtId="2" fontId="2" fillId="0" borderId="16" xfId="5" applyNumberFormat="1" applyFont="1" applyBorder="1" applyAlignment="1">
      <alignment horizontal="center"/>
    </xf>
    <xf numFmtId="0" fontId="0" fillId="0" borderId="0" xfId="0" applyFont="1"/>
    <xf numFmtId="175" fontId="0" fillId="0" borderId="0" xfId="0" applyNumberFormat="1" applyFont="1"/>
    <xf numFmtId="0" fontId="15" fillId="0" borderId="0" xfId="0" applyFont="1"/>
    <xf numFmtId="0" fontId="16" fillId="0" borderId="0" xfId="0" applyFont="1" applyAlignment="1">
      <alignment vertical="center"/>
    </xf>
    <xf numFmtId="171" fontId="0" fillId="0" borderId="0" xfId="0" applyNumberFormat="1" applyFont="1"/>
    <xf numFmtId="173" fontId="0" fillId="0" borderId="0" xfId="0" applyNumberFormat="1" applyFont="1"/>
    <xf numFmtId="9" fontId="0" fillId="0" borderId="0" xfId="0" applyNumberFormat="1" applyFont="1"/>
    <xf numFmtId="174" fontId="0" fillId="0" borderId="0" xfId="0" applyNumberFormat="1" applyFont="1"/>
    <xf numFmtId="164" fontId="0" fillId="0" borderId="0" xfId="0" applyNumberFormat="1" applyFont="1"/>
    <xf numFmtId="176" fontId="0" fillId="0" borderId="0" xfId="0" applyNumberFormat="1" applyFont="1"/>
    <xf numFmtId="172" fontId="0" fillId="0" borderId="0" xfId="0" applyNumberFormat="1" applyFont="1"/>
    <xf numFmtId="10" fontId="0" fillId="0" borderId="0" xfId="0" applyNumberFormat="1" applyFont="1"/>
    <xf numFmtId="0" fontId="16" fillId="0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indent="15"/>
    </xf>
    <xf numFmtId="166" fontId="0" fillId="0" borderId="0" xfId="0" applyNumberFormat="1" applyFont="1"/>
    <xf numFmtId="0" fontId="16" fillId="0" borderId="0" xfId="0" applyFont="1" applyAlignment="1">
      <alignment vertical="center" wrapText="1"/>
    </xf>
    <xf numFmtId="1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73" fontId="15" fillId="0" borderId="6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0" fontId="16" fillId="0" borderId="5" xfId="0" applyNumberFormat="1" applyFont="1" applyBorder="1" applyAlignment="1">
      <alignment horizontal="center" vertical="center" wrapText="1"/>
    </xf>
    <xf numFmtId="173" fontId="16" fillId="0" borderId="5" xfId="0" applyNumberFormat="1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73" fontId="15" fillId="0" borderId="9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0" fontId="16" fillId="0" borderId="5" xfId="0" applyNumberFormat="1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right" vertical="center"/>
    </xf>
    <xf numFmtId="173" fontId="16" fillId="0" borderId="5" xfId="0" applyNumberFormat="1" applyFont="1" applyBorder="1" applyAlignment="1">
      <alignment horizontal="right" vertical="center"/>
    </xf>
    <xf numFmtId="173" fontId="16" fillId="0" borderId="6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horizontal="right" vertical="center"/>
    </xf>
    <xf numFmtId="173" fontId="15" fillId="0" borderId="8" xfId="0" applyNumberFormat="1" applyFont="1" applyBorder="1" applyAlignment="1">
      <alignment horizontal="right" vertical="center"/>
    </xf>
    <xf numFmtId="175" fontId="15" fillId="0" borderId="9" xfId="0" applyNumberFormat="1" applyFont="1" applyBorder="1" applyAlignment="1">
      <alignment horizontal="right" vertical="center"/>
    </xf>
    <xf numFmtId="167" fontId="0" fillId="0" borderId="0" xfId="0" applyNumberFormat="1" applyFont="1"/>
    <xf numFmtId="165" fontId="0" fillId="0" borderId="0" xfId="0" applyNumberFormat="1" applyFont="1"/>
    <xf numFmtId="14" fontId="0" fillId="0" borderId="0" xfId="0" applyNumberFormat="1" applyFont="1"/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10" fontId="0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173" fontId="0" fillId="0" borderId="5" xfId="0" applyNumberFormat="1" applyFont="1" applyBorder="1" applyAlignment="1">
      <alignment horizontal="center" vertical="center" wrapText="1"/>
    </xf>
    <xf numFmtId="173" fontId="0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175" fontId="0" fillId="0" borderId="6" xfId="0" applyNumberFormat="1" applyFont="1" applyBorder="1" applyAlignment="1">
      <alignment horizontal="center" vertical="center" wrapText="1"/>
    </xf>
    <xf numFmtId="0" fontId="0" fillId="0" borderId="0" xfId="0" applyNumberFormat="1" applyFont="1"/>
    <xf numFmtId="14" fontId="16" fillId="0" borderId="0" xfId="0" applyNumberFormat="1" applyFont="1" applyAlignment="1">
      <alignment horizontal="left" vertical="center"/>
    </xf>
    <xf numFmtId="168" fontId="0" fillId="0" borderId="0" xfId="0" applyNumberFormat="1" applyFont="1"/>
    <xf numFmtId="173" fontId="3" fillId="0" borderId="2" xfId="0" applyNumberFormat="1" applyFont="1" applyBorder="1" applyAlignment="1">
      <alignment horizontal="center" vertical="center" wrapText="1"/>
    </xf>
    <xf numFmtId="173" fontId="3" fillId="0" borderId="3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173" fontId="3" fillId="0" borderId="8" xfId="0" applyNumberFormat="1" applyFont="1" applyBorder="1" applyAlignment="1">
      <alignment horizontal="center" vertical="center" wrapText="1"/>
    </xf>
    <xf numFmtId="173" fontId="3" fillId="0" borderId="9" xfId="0" applyNumberFormat="1" applyFont="1" applyBorder="1" applyAlignment="1">
      <alignment horizontal="center" vertical="center" wrapText="1"/>
    </xf>
    <xf numFmtId="6" fontId="16" fillId="0" borderId="0" xfId="0" applyNumberFormat="1" applyFont="1" applyAlignment="1">
      <alignment horizontal="left" vertical="center"/>
    </xf>
    <xf numFmtId="14" fontId="0" fillId="0" borderId="3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14" fontId="0" fillId="0" borderId="36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173" fontId="0" fillId="0" borderId="17" xfId="0" applyNumberFormat="1" applyFont="1" applyBorder="1" applyAlignment="1">
      <alignment horizontal="center" vertical="center" wrapText="1"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35" xfId="0" applyNumberFormat="1" applyFont="1" applyBorder="1" applyAlignment="1">
      <alignment horizontal="center" vertical="center" wrapText="1"/>
    </xf>
    <xf numFmtId="173" fontId="0" fillId="0" borderId="37" xfId="0" applyNumberFormat="1" applyFont="1" applyBorder="1" applyAlignment="1">
      <alignment horizontal="center" vertical="center" wrapText="1"/>
    </xf>
    <xf numFmtId="177" fontId="0" fillId="0" borderId="33" xfId="0" applyNumberFormat="1" applyFont="1" applyBorder="1" applyAlignment="1">
      <alignment horizontal="center" vertical="center" wrapText="1"/>
    </xf>
    <xf numFmtId="14" fontId="0" fillId="0" borderId="3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3" fontId="0" fillId="0" borderId="30" xfId="0" applyNumberFormat="1" applyFont="1" applyBorder="1" applyAlignment="1">
      <alignment horizontal="center" vertical="center" wrapText="1"/>
    </xf>
    <xf numFmtId="173" fontId="0" fillId="0" borderId="31" xfId="0" applyNumberFormat="1" applyFont="1" applyBorder="1" applyAlignment="1">
      <alignment horizontal="center" vertical="center" wrapText="1"/>
    </xf>
    <xf numFmtId="173" fontId="0" fillId="0" borderId="18" xfId="0" applyNumberFormat="1" applyFont="1" applyBorder="1" applyAlignment="1">
      <alignment horizontal="center" vertical="center" wrapText="1"/>
    </xf>
    <xf numFmtId="173" fontId="0" fillId="0" borderId="32" xfId="0" applyNumberFormat="1" applyFont="1" applyBorder="1" applyAlignment="1">
      <alignment horizontal="center" vertical="center" wrapText="1"/>
    </xf>
    <xf numFmtId="173" fontId="3" fillId="0" borderId="3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8" fontId="16" fillId="0" borderId="0" xfId="0" applyNumberFormat="1" applyFont="1" applyAlignment="1">
      <alignment horizontal="left" vertical="center"/>
    </xf>
    <xf numFmtId="180" fontId="0" fillId="0" borderId="0" xfId="0" applyNumberFormat="1" applyFont="1"/>
    <xf numFmtId="0" fontId="17" fillId="0" borderId="0" xfId="0" applyFont="1"/>
    <xf numFmtId="0" fontId="16" fillId="0" borderId="0" xfId="0" applyFont="1"/>
    <xf numFmtId="14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173" fontId="0" fillId="0" borderId="6" xfId="0" applyNumberFormat="1" applyFont="1" applyBorder="1" applyAlignment="1">
      <alignment horizontal="right" vertical="center" wrapText="1"/>
    </xf>
    <xf numFmtId="170" fontId="0" fillId="0" borderId="5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173" fontId="3" fillId="0" borderId="9" xfId="0" applyNumberFormat="1" applyFont="1" applyBorder="1" applyAlignment="1">
      <alignment horizontal="right" vertical="center" wrapText="1"/>
    </xf>
    <xf numFmtId="8" fontId="0" fillId="0" borderId="0" xfId="0" applyNumberFormat="1" applyFont="1"/>
    <xf numFmtId="184" fontId="0" fillId="0" borderId="0" xfId="0" applyNumberFormat="1" applyFont="1" applyAlignment="1">
      <alignment horizontal="right"/>
    </xf>
    <xf numFmtId="184" fontId="0" fillId="0" borderId="0" xfId="0" applyNumberFormat="1" applyFont="1"/>
    <xf numFmtId="0" fontId="16" fillId="0" borderId="0" xfId="0" applyFont="1" applyAlignment="1">
      <alignment wrapText="1"/>
    </xf>
    <xf numFmtId="3" fontId="0" fillId="0" borderId="0" xfId="0" applyNumberFormat="1"/>
    <xf numFmtId="0" fontId="16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7">
    <cellStyle name="Hipervínculo" xfId="1" builtinId="8"/>
    <cellStyle name="Millares 2" xfId="4"/>
    <cellStyle name="Moneda 2" xfId="6"/>
    <cellStyle name="Normal" xfId="0" builtinId="0"/>
    <cellStyle name="Normal 2" xfId="3"/>
    <cellStyle name="Porcentaje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</xdr:col>
      <xdr:colOff>781050</xdr:colOff>
      <xdr:row>17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3494247-73E2-4010-A8BA-645DC45D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52775"/>
          <a:ext cx="7810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BDA932E-FB2C-44C7-BB47-C2F96670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62275"/>
          <a:ext cx="762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371475</xdr:colOff>
      <xdr:row>19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BCB7F45A-2D0E-4A40-B22C-B0EE7CF7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33775"/>
          <a:ext cx="3714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790575</xdr:colOff>
      <xdr:row>21</xdr:row>
      <xdr:rowOff>38100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2121A1B8-DEBF-4DA3-94CB-CEEE7F417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914775"/>
          <a:ext cx="7905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790575</xdr:colOff>
      <xdr:row>23</xdr:row>
      <xdr:rowOff>38100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F3587A2C-7193-4E00-A40C-F1C8FFCB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95775"/>
          <a:ext cx="7905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781050</xdr:colOff>
      <xdr:row>15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9FB6BDF-DC2B-4326-9B48-66688EC2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762250"/>
          <a:ext cx="7810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723900</xdr:colOff>
      <xdr:row>14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0C2BE37-E07D-41B2-9AC3-DFCAF591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500"/>
          <a:ext cx="7239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3</xdr:col>
      <xdr:colOff>571500</xdr:colOff>
      <xdr:row>25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22401CF-C531-409E-8ECB-CA936870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14975"/>
          <a:ext cx="2143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1990725</xdr:colOff>
      <xdr:row>11</xdr:row>
      <xdr:rowOff>371475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E639FCF-06B0-43AD-86A5-F65E5D0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62175"/>
          <a:ext cx="19907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2057400</xdr:colOff>
      <xdr:row>16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C68A5CA3-085B-4019-8A13-3BE42E74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790825"/>
          <a:ext cx="20574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</xdr:col>
      <xdr:colOff>295275</xdr:colOff>
      <xdr:row>17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44CBB5D-5E2A-4C88-A714-BB165F9B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48000"/>
          <a:ext cx="2952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>
      <selection activeCell="A3" sqref="A3"/>
    </sheetView>
  </sheetViews>
  <sheetFormatPr baseColWidth="10" defaultRowHeight="15" x14ac:dyDescent="0.25"/>
  <cols>
    <col min="1" max="1" width="5.85546875" style="199" customWidth="1"/>
    <col min="2" max="2" width="25" style="199" customWidth="1"/>
    <col min="3" max="3" width="44.42578125" style="199" customWidth="1"/>
    <col min="4" max="16384" width="11.42578125" style="199"/>
  </cols>
  <sheetData>
    <row r="2" spans="2:3" ht="15.75" x14ac:dyDescent="0.25">
      <c r="B2" s="201" t="s">
        <v>100</v>
      </c>
    </row>
    <row r="4" spans="2:3" ht="15.75" x14ac:dyDescent="0.25">
      <c r="B4" s="202" t="s">
        <v>101</v>
      </c>
      <c r="C4" s="202" t="s">
        <v>102</v>
      </c>
    </row>
    <row r="5" spans="2:3" ht="15.75" x14ac:dyDescent="0.25">
      <c r="B5" s="202" t="s">
        <v>103</v>
      </c>
      <c r="C5" s="202" t="s">
        <v>104</v>
      </c>
    </row>
    <row r="6" spans="2:3" ht="15.75" x14ac:dyDescent="0.25">
      <c r="B6" s="202" t="s">
        <v>105</v>
      </c>
      <c r="C6" s="202" t="s">
        <v>106</v>
      </c>
    </row>
    <row r="7" spans="2:3" ht="15.75" x14ac:dyDescent="0.25">
      <c r="B7" s="202" t="s">
        <v>107</v>
      </c>
      <c r="C7" s="202" t="s">
        <v>108</v>
      </c>
    </row>
    <row r="8" spans="2:3" ht="15.75" x14ac:dyDescent="0.25">
      <c r="B8" s="202" t="s">
        <v>109</v>
      </c>
      <c r="C8" s="202" t="s">
        <v>88</v>
      </c>
    </row>
    <row r="9" spans="2:3" ht="15.75" x14ac:dyDescent="0.25">
      <c r="B9" s="202" t="s">
        <v>110</v>
      </c>
      <c r="C9" s="202" t="s">
        <v>111</v>
      </c>
    </row>
    <row r="10" spans="2:3" ht="15.75" x14ac:dyDescent="0.25">
      <c r="B10" s="202" t="s">
        <v>112</v>
      </c>
      <c r="C10" s="202" t="s">
        <v>113</v>
      </c>
    </row>
    <row r="12" spans="2:3" ht="15.75" x14ac:dyDescent="0.25">
      <c r="B12" s="202" t="s">
        <v>114</v>
      </c>
      <c r="C12" s="200">
        <f>ROUND((((1/0.97)^(365/180))-1),17)</f>
        <v>6.3711815422623705E-2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7"/>
  <sheetViews>
    <sheetView workbookViewId="0">
      <selection activeCell="D19" sqref="D19"/>
    </sheetView>
  </sheetViews>
  <sheetFormatPr baseColWidth="10" defaultRowHeight="15" x14ac:dyDescent="0.25"/>
  <cols>
    <col min="1" max="1" width="5.42578125" style="199" customWidth="1"/>
    <col min="2" max="2" width="13.28515625" style="199" customWidth="1"/>
    <col min="3" max="3" width="14" style="199" customWidth="1"/>
    <col min="4" max="6" width="11.42578125" style="199"/>
    <col min="7" max="7" width="23.28515625" style="199" customWidth="1"/>
    <col min="8" max="8" width="22.140625" style="199" customWidth="1"/>
    <col min="9" max="16384" width="11.42578125" style="199"/>
  </cols>
  <sheetData>
    <row r="2" spans="2:4" x14ac:dyDescent="0.25">
      <c r="B2" s="5" t="s">
        <v>74</v>
      </c>
    </row>
    <row r="4" spans="2:4" ht="15.75" x14ac:dyDescent="0.25">
      <c r="B4" s="202" t="s">
        <v>149</v>
      </c>
    </row>
    <row r="5" spans="2:4" ht="15.75" x14ac:dyDescent="0.25">
      <c r="B5" s="202" t="s">
        <v>101</v>
      </c>
      <c r="D5" s="199" t="s">
        <v>183</v>
      </c>
    </row>
    <row r="6" spans="2:4" ht="15.75" x14ac:dyDescent="0.25">
      <c r="B6" s="202" t="s">
        <v>142</v>
      </c>
      <c r="D6" s="199" t="s">
        <v>184</v>
      </c>
    </row>
    <row r="7" spans="2:4" ht="15.75" x14ac:dyDescent="0.25">
      <c r="B7" s="202" t="s">
        <v>185</v>
      </c>
      <c r="D7" s="259" t="s">
        <v>186</v>
      </c>
    </row>
    <row r="8" spans="2:4" ht="15.75" x14ac:dyDescent="0.25">
      <c r="B8" s="202" t="s">
        <v>187</v>
      </c>
      <c r="D8" s="259" t="s">
        <v>188</v>
      </c>
    </row>
    <row r="9" spans="2:4" ht="15.75" x14ac:dyDescent="0.25">
      <c r="B9" s="202" t="s">
        <v>134</v>
      </c>
      <c r="D9" s="199" t="s">
        <v>135</v>
      </c>
    </row>
    <row r="10" spans="2:4" ht="15.75" x14ac:dyDescent="0.25">
      <c r="B10" s="202" t="s">
        <v>119</v>
      </c>
      <c r="D10" s="259" t="s">
        <v>189</v>
      </c>
    </row>
    <row r="11" spans="2:4" ht="15.75" x14ac:dyDescent="0.25">
      <c r="B11" s="202" t="s">
        <v>136</v>
      </c>
      <c r="D11" s="199" t="s">
        <v>190</v>
      </c>
    </row>
    <row r="12" spans="2:4" ht="15.75" x14ac:dyDescent="0.25">
      <c r="B12" s="202" t="s">
        <v>138</v>
      </c>
      <c r="D12" s="199" t="s">
        <v>191</v>
      </c>
    </row>
    <row r="13" spans="2:4" ht="15.75" x14ac:dyDescent="0.25">
      <c r="B13" s="202" t="s">
        <v>103</v>
      </c>
      <c r="D13" s="202" t="s">
        <v>192</v>
      </c>
    </row>
    <row r="14" spans="2:4" ht="15.75" x14ac:dyDescent="0.25">
      <c r="B14" s="202" t="s">
        <v>105</v>
      </c>
      <c r="D14" s="202" t="s">
        <v>193</v>
      </c>
    </row>
    <row r="15" spans="2:4" ht="15.75" x14ac:dyDescent="0.25">
      <c r="B15" s="202" t="s">
        <v>107</v>
      </c>
      <c r="D15" s="202" t="s">
        <v>194</v>
      </c>
    </row>
    <row r="16" spans="2:4" ht="15.75" x14ac:dyDescent="0.25">
      <c r="B16" s="202" t="s">
        <v>109</v>
      </c>
      <c r="D16" s="199" t="s">
        <v>168</v>
      </c>
    </row>
    <row r="17" spans="2:8" ht="15.75" x14ac:dyDescent="0.25">
      <c r="B17" s="202" t="s">
        <v>195</v>
      </c>
      <c r="D17" s="202" t="s">
        <v>196</v>
      </c>
    </row>
    <row r="18" spans="2:8" ht="15.75" x14ac:dyDescent="0.25">
      <c r="B18" s="202" t="s">
        <v>170</v>
      </c>
      <c r="D18" s="199" t="s">
        <v>197</v>
      </c>
    </row>
    <row r="19" spans="2:8" ht="15.75" x14ac:dyDescent="0.25">
      <c r="B19" s="202" t="s">
        <v>198</v>
      </c>
      <c r="D19" s="199" t="s">
        <v>199</v>
      </c>
    </row>
    <row r="20" spans="2:8" ht="15.75" x14ac:dyDescent="0.25">
      <c r="B20" s="202"/>
      <c r="E20" s="202"/>
    </row>
    <row r="22" spans="2:8" ht="15.75" thickBot="1" x14ac:dyDescent="0.3"/>
    <row r="23" spans="2:8" ht="31.5" thickTop="1" thickBot="1" x14ac:dyDescent="0.3">
      <c r="B23" s="6" t="s">
        <v>8</v>
      </c>
      <c r="C23" s="7" t="s">
        <v>55</v>
      </c>
      <c r="D23" s="7" t="s">
        <v>47</v>
      </c>
      <c r="E23" s="7" t="s">
        <v>25</v>
      </c>
      <c r="F23" s="7" t="s">
        <v>6</v>
      </c>
      <c r="G23" s="261" t="s">
        <v>2</v>
      </c>
      <c r="H23" s="262" t="s">
        <v>9</v>
      </c>
    </row>
    <row r="24" spans="2:8" ht="15.75" hidden="1" thickBot="1" x14ac:dyDescent="0.3">
      <c r="B24" s="250"/>
      <c r="C24" s="263">
        <v>43064</v>
      </c>
      <c r="D24" s="255"/>
      <c r="E24" s="255"/>
      <c r="F24" s="255"/>
      <c r="G24" s="253"/>
      <c r="H24" s="254"/>
    </row>
    <row r="25" spans="2:8" ht="15.75" hidden="1" thickBot="1" x14ac:dyDescent="0.3">
      <c r="B25" s="250"/>
      <c r="C25" s="263">
        <v>43084</v>
      </c>
      <c r="D25" s="255"/>
      <c r="E25" s="255"/>
      <c r="F25" s="255"/>
      <c r="G25" s="253"/>
      <c r="H25" s="254"/>
    </row>
    <row r="26" spans="2:8" ht="15.75" thickBot="1" x14ac:dyDescent="0.3">
      <c r="B26" s="250">
        <v>1</v>
      </c>
      <c r="C26" s="263">
        <v>43094</v>
      </c>
      <c r="D26" s="255">
        <f>C26-C24</f>
        <v>30</v>
      </c>
      <c r="E26" s="255">
        <f>C26-$C$25</f>
        <v>10</v>
      </c>
      <c r="F26" s="251">
        <v>5.5E-2</v>
      </c>
      <c r="G26" s="253">
        <f>ROUND($C$54*D26,17)</f>
        <v>4.5205479452054796E-3</v>
      </c>
      <c r="H26" s="254">
        <f>ROUND(G26/((1+$H$53)^(E26)),17)</f>
        <v>4.5133370615935697E-3</v>
      </c>
    </row>
    <row r="27" spans="2:8" ht="15.75" thickBot="1" x14ac:dyDescent="0.3">
      <c r="B27" s="250">
        <v>2</v>
      </c>
      <c r="C27" s="263">
        <v>43125</v>
      </c>
      <c r="D27" s="255">
        <f>C27-C26</f>
        <v>31</v>
      </c>
      <c r="E27" s="255">
        <f t="shared" ref="E27:E49" si="0">C27-$C$25</f>
        <v>41</v>
      </c>
      <c r="F27" s="251">
        <v>5.5E-2</v>
      </c>
      <c r="G27" s="253">
        <f t="shared" ref="G27" si="1">ROUND($C$54*D27,17)</f>
        <v>4.6712328767123303E-3</v>
      </c>
      <c r="H27" s="254">
        <f t="shared" ref="H27:H49" si="2">ROUND(G27/((1+$H$53)^(E27)),17)</f>
        <v>4.6407582160687896E-3</v>
      </c>
    </row>
    <row r="28" spans="2:8" ht="15.75" thickBot="1" x14ac:dyDescent="0.3">
      <c r="B28" s="250">
        <v>3</v>
      </c>
      <c r="C28" s="263">
        <v>43156</v>
      </c>
      <c r="D28" s="255">
        <f>C28-C27</f>
        <v>31</v>
      </c>
      <c r="E28" s="255">
        <f t="shared" si="0"/>
        <v>72</v>
      </c>
      <c r="F28" s="251">
        <v>5.5E-2</v>
      </c>
      <c r="G28" s="253">
        <f>ROUND($C$54*D28,17)</f>
        <v>4.6712328767123303E-3</v>
      </c>
      <c r="H28" s="254">
        <f t="shared" si="2"/>
        <v>4.6178484601481998E-3</v>
      </c>
    </row>
    <row r="29" spans="2:8" ht="15.75" thickBot="1" x14ac:dyDescent="0.3">
      <c r="B29" s="250">
        <v>4</v>
      </c>
      <c r="C29" s="263">
        <v>43184</v>
      </c>
      <c r="D29" s="255">
        <f t="shared" ref="D29:D49" si="3">C29-C28</f>
        <v>28</v>
      </c>
      <c r="E29" s="255">
        <f t="shared" si="0"/>
        <v>100</v>
      </c>
      <c r="F29" s="251">
        <v>5.2499999999999998E-2</v>
      </c>
      <c r="G29" s="253">
        <f>ROUND($C$56*D29,17)</f>
        <v>4.0273972602739702E-3</v>
      </c>
      <c r="H29" s="254">
        <f t="shared" si="2"/>
        <v>3.9636140255015096E-3</v>
      </c>
    </row>
    <row r="30" spans="2:8" ht="15.75" thickBot="1" x14ac:dyDescent="0.3">
      <c r="B30" s="250">
        <v>5</v>
      </c>
      <c r="C30" s="263">
        <v>43215</v>
      </c>
      <c r="D30" s="255">
        <f t="shared" si="3"/>
        <v>31</v>
      </c>
      <c r="E30" s="255">
        <f t="shared" si="0"/>
        <v>131</v>
      </c>
      <c r="F30" s="251">
        <v>5.2499999999999998E-2</v>
      </c>
      <c r="G30" s="253">
        <f t="shared" ref="G30:G48" si="4">ROUND($C$56*D30,17)</f>
        <v>4.4589041095890397E-3</v>
      </c>
      <c r="H30" s="254">
        <f t="shared" si="2"/>
        <v>4.3666235607804698E-3</v>
      </c>
    </row>
    <row r="31" spans="2:8" ht="15.75" thickBot="1" x14ac:dyDescent="0.3">
      <c r="B31" s="250">
        <v>6</v>
      </c>
      <c r="C31" s="263">
        <v>43245</v>
      </c>
      <c r="D31" s="255">
        <f t="shared" si="3"/>
        <v>30</v>
      </c>
      <c r="E31" s="255">
        <f t="shared" si="0"/>
        <v>161</v>
      </c>
      <c r="F31" s="251">
        <v>5.2499999999999998E-2</v>
      </c>
      <c r="G31" s="253">
        <f t="shared" si="4"/>
        <v>4.31506849315068E-3</v>
      </c>
      <c r="H31" s="254">
        <f t="shared" si="2"/>
        <v>4.2055749819774804E-3</v>
      </c>
    </row>
    <row r="32" spans="2:8" ht="15.75" thickBot="1" x14ac:dyDescent="0.3">
      <c r="B32" s="250">
        <v>7</v>
      </c>
      <c r="C32" s="263">
        <v>43276</v>
      </c>
      <c r="D32" s="255">
        <f t="shared" si="3"/>
        <v>31</v>
      </c>
      <c r="E32" s="255">
        <f t="shared" si="0"/>
        <v>192</v>
      </c>
      <c r="F32" s="251">
        <v>5.2499999999999998E-2</v>
      </c>
      <c r="G32" s="253">
        <f t="shared" si="4"/>
        <v>4.4589041095890397E-3</v>
      </c>
      <c r="H32" s="254">
        <f t="shared" si="2"/>
        <v>4.3243073549694803E-3</v>
      </c>
    </row>
    <row r="33" spans="2:8" ht="15.75" thickBot="1" x14ac:dyDescent="0.3">
      <c r="B33" s="250">
        <v>8</v>
      </c>
      <c r="C33" s="263">
        <v>43306</v>
      </c>
      <c r="D33" s="255">
        <f t="shared" si="3"/>
        <v>30</v>
      </c>
      <c r="E33" s="255">
        <f t="shared" si="0"/>
        <v>222</v>
      </c>
      <c r="F33" s="251">
        <v>5.2499999999999998E-2</v>
      </c>
      <c r="G33" s="253">
        <f t="shared" si="4"/>
        <v>4.31506849315068E-3</v>
      </c>
      <c r="H33" s="254">
        <f t="shared" si="2"/>
        <v>4.1648194705362499E-3</v>
      </c>
    </row>
    <row r="34" spans="2:8" ht="15.75" thickBot="1" x14ac:dyDescent="0.3">
      <c r="B34" s="250">
        <v>9</v>
      </c>
      <c r="C34" s="263">
        <v>43337</v>
      </c>
      <c r="D34" s="255">
        <f t="shared" si="3"/>
        <v>31</v>
      </c>
      <c r="E34" s="255">
        <f t="shared" si="0"/>
        <v>253</v>
      </c>
      <c r="F34" s="251">
        <v>5.2499999999999998E-2</v>
      </c>
      <c r="G34" s="253">
        <f t="shared" si="4"/>
        <v>4.4589041095890397E-3</v>
      </c>
      <c r="H34" s="254">
        <f t="shared" si="2"/>
        <v>4.2824012283075698E-3</v>
      </c>
    </row>
    <row r="35" spans="2:8" ht="15.75" thickBot="1" x14ac:dyDescent="0.3">
      <c r="B35" s="250">
        <v>10</v>
      </c>
      <c r="C35" s="263">
        <v>43368</v>
      </c>
      <c r="D35" s="255">
        <f t="shared" si="3"/>
        <v>31</v>
      </c>
      <c r="E35" s="255">
        <f t="shared" si="0"/>
        <v>284</v>
      </c>
      <c r="F35" s="251">
        <v>5.2499999999999998E-2</v>
      </c>
      <c r="G35" s="253">
        <f t="shared" si="4"/>
        <v>4.4589041095890397E-3</v>
      </c>
      <c r="H35" s="254">
        <f t="shared" si="2"/>
        <v>4.2612605520803903E-3</v>
      </c>
    </row>
    <row r="36" spans="2:8" ht="15.75" thickBot="1" x14ac:dyDescent="0.3">
      <c r="B36" s="250">
        <v>11</v>
      </c>
      <c r="C36" s="263">
        <v>43398</v>
      </c>
      <c r="D36" s="255">
        <f t="shared" si="3"/>
        <v>30</v>
      </c>
      <c r="E36" s="255">
        <f t="shared" si="0"/>
        <v>314</v>
      </c>
      <c r="F36" s="251">
        <v>5.2499999999999998E-2</v>
      </c>
      <c r="G36" s="253">
        <f t="shared" si="4"/>
        <v>4.31506849315068E-3</v>
      </c>
      <c r="H36" s="254">
        <f t="shared" si="2"/>
        <v>4.1040979420524397E-3</v>
      </c>
    </row>
    <row r="37" spans="2:8" ht="15.75" thickBot="1" x14ac:dyDescent="0.3">
      <c r="B37" s="250">
        <v>12</v>
      </c>
      <c r="C37" s="263">
        <v>43429</v>
      </c>
      <c r="D37" s="255">
        <f t="shared" si="3"/>
        <v>31</v>
      </c>
      <c r="E37" s="255">
        <f t="shared" si="0"/>
        <v>345</v>
      </c>
      <c r="F37" s="251">
        <v>5.2499999999999998E-2</v>
      </c>
      <c r="G37" s="253">
        <f t="shared" si="4"/>
        <v>4.4589041095890397E-3</v>
      </c>
      <c r="H37" s="254">
        <f t="shared" si="2"/>
        <v>4.21996540125592E-3</v>
      </c>
    </row>
    <row r="38" spans="2:8" ht="15.75" thickBot="1" x14ac:dyDescent="0.3">
      <c r="B38" s="250">
        <v>13</v>
      </c>
      <c r="C38" s="263">
        <v>43459</v>
      </c>
      <c r="D38" s="255">
        <f t="shared" si="3"/>
        <v>30</v>
      </c>
      <c r="E38" s="255">
        <f t="shared" si="0"/>
        <v>375</v>
      </c>
      <c r="F38" s="251">
        <v>5.2499999999999998E-2</v>
      </c>
      <c r="G38" s="253">
        <f t="shared" si="4"/>
        <v>4.31506849315068E-3</v>
      </c>
      <c r="H38" s="254">
        <f t="shared" si="2"/>
        <v>4.0643258273356502E-3</v>
      </c>
    </row>
    <row r="39" spans="2:8" ht="15.75" thickBot="1" x14ac:dyDescent="0.3">
      <c r="B39" s="250">
        <v>14</v>
      </c>
      <c r="C39" s="263">
        <v>43490</v>
      </c>
      <c r="D39" s="255">
        <f t="shared" si="3"/>
        <v>31</v>
      </c>
      <c r="E39" s="255">
        <f t="shared" si="0"/>
        <v>406</v>
      </c>
      <c r="F39" s="251">
        <v>5.2499999999999998E-2</v>
      </c>
      <c r="G39" s="253">
        <f t="shared" si="4"/>
        <v>4.4589041095890397E-3</v>
      </c>
      <c r="H39" s="254">
        <f t="shared" si="2"/>
        <v>4.1790704347104404E-3</v>
      </c>
    </row>
    <row r="40" spans="2:8" ht="15.75" thickBot="1" x14ac:dyDescent="0.3">
      <c r="B40" s="250">
        <v>15</v>
      </c>
      <c r="C40" s="263">
        <v>43521</v>
      </c>
      <c r="D40" s="255">
        <f t="shared" si="3"/>
        <v>31</v>
      </c>
      <c r="E40" s="255">
        <f t="shared" si="0"/>
        <v>437</v>
      </c>
      <c r="F40" s="251">
        <v>5.2499999999999998E-2</v>
      </c>
      <c r="G40" s="253">
        <f t="shared" si="4"/>
        <v>4.4589041095890397E-3</v>
      </c>
      <c r="H40" s="254">
        <f t="shared" si="2"/>
        <v>4.1584398654851999E-3</v>
      </c>
    </row>
    <row r="41" spans="2:8" ht="15.75" thickBot="1" x14ac:dyDescent="0.3">
      <c r="B41" s="250">
        <v>16</v>
      </c>
      <c r="C41" s="263">
        <v>43549</v>
      </c>
      <c r="D41" s="255">
        <f t="shared" si="3"/>
        <v>28</v>
      </c>
      <c r="E41" s="255">
        <f t="shared" si="0"/>
        <v>465</v>
      </c>
      <c r="F41" s="251">
        <v>5.2499999999999998E-2</v>
      </c>
      <c r="G41" s="253">
        <f t="shared" si="4"/>
        <v>4.0273972602739702E-3</v>
      </c>
      <c r="H41" s="254">
        <f t="shared" si="2"/>
        <v>3.7392585146241702E-3</v>
      </c>
    </row>
    <row r="42" spans="2:8" ht="15.75" thickBot="1" x14ac:dyDescent="0.3">
      <c r="B42" s="250">
        <v>17</v>
      </c>
      <c r="C42" s="263">
        <v>43580</v>
      </c>
      <c r="D42" s="255">
        <f t="shared" si="3"/>
        <v>31</v>
      </c>
      <c r="E42" s="255">
        <f t="shared" si="0"/>
        <v>496</v>
      </c>
      <c r="F42" s="251">
        <v>5.2499999999999998E-2</v>
      </c>
      <c r="G42" s="253">
        <f t="shared" si="4"/>
        <v>4.4589041095890397E-3</v>
      </c>
      <c r="H42" s="254">
        <f t="shared" si="2"/>
        <v>4.1194561894156599E-3</v>
      </c>
    </row>
    <row r="43" spans="2:8" ht="15.75" thickBot="1" x14ac:dyDescent="0.3">
      <c r="B43" s="250">
        <v>18</v>
      </c>
      <c r="C43" s="263">
        <v>43610</v>
      </c>
      <c r="D43" s="255">
        <f t="shared" si="3"/>
        <v>30</v>
      </c>
      <c r="E43" s="255">
        <f t="shared" si="0"/>
        <v>526</v>
      </c>
      <c r="F43" s="251">
        <v>5.2499999999999998E-2</v>
      </c>
      <c r="G43" s="253">
        <f>ROUND($C$56*D43,17)</f>
        <v>4.31506849315068E-3</v>
      </c>
      <c r="H43" s="254">
        <f t="shared" si="2"/>
        <v>3.9675235679034002E-3</v>
      </c>
    </row>
    <row r="44" spans="2:8" ht="15.75" thickBot="1" x14ac:dyDescent="0.3">
      <c r="B44" s="250">
        <v>19</v>
      </c>
      <c r="C44" s="263">
        <v>43641</v>
      </c>
      <c r="D44" s="255">
        <f t="shared" si="3"/>
        <v>31</v>
      </c>
      <c r="E44" s="255">
        <f t="shared" si="0"/>
        <v>557</v>
      </c>
      <c r="F44" s="251">
        <v>5.2499999999999998E-2</v>
      </c>
      <c r="G44" s="253">
        <f t="shared" si="4"/>
        <v>4.4589041095890397E-3</v>
      </c>
      <c r="H44" s="254">
        <f t="shared" si="2"/>
        <v>4.0795352405373596E-3</v>
      </c>
    </row>
    <row r="45" spans="2:8" ht="15.75" thickBot="1" x14ac:dyDescent="0.3">
      <c r="B45" s="250">
        <v>20</v>
      </c>
      <c r="C45" s="263">
        <v>43671</v>
      </c>
      <c r="D45" s="255">
        <f t="shared" si="3"/>
        <v>30</v>
      </c>
      <c r="E45" s="255">
        <f t="shared" si="0"/>
        <v>587</v>
      </c>
      <c r="F45" s="251">
        <v>5.2499999999999998E-2</v>
      </c>
      <c r="G45" s="253">
        <f t="shared" si="4"/>
        <v>4.31506849315068E-3</v>
      </c>
      <c r="H45" s="254">
        <f t="shared" si="2"/>
        <v>3.9290749722041196E-3</v>
      </c>
    </row>
    <row r="46" spans="2:8" ht="15.75" thickBot="1" x14ac:dyDescent="0.3">
      <c r="B46" s="250">
        <v>21</v>
      </c>
      <c r="C46" s="263">
        <v>43702</v>
      </c>
      <c r="D46" s="255">
        <f t="shared" si="3"/>
        <v>31</v>
      </c>
      <c r="E46" s="255">
        <f t="shared" si="0"/>
        <v>618</v>
      </c>
      <c r="F46" s="251">
        <v>5.2499999999999998E-2</v>
      </c>
      <c r="G46" s="253">
        <f t="shared" si="4"/>
        <v>4.4589041095890397E-3</v>
      </c>
      <c r="H46" s="254">
        <f t="shared" si="2"/>
        <v>4.0400011587808397E-3</v>
      </c>
    </row>
    <row r="47" spans="2:8" ht="15.75" thickBot="1" x14ac:dyDescent="0.3">
      <c r="B47" s="250">
        <v>22</v>
      </c>
      <c r="C47" s="263">
        <v>43733</v>
      </c>
      <c r="D47" s="255">
        <f t="shared" si="3"/>
        <v>31</v>
      </c>
      <c r="E47" s="255">
        <f t="shared" si="0"/>
        <v>649</v>
      </c>
      <c r="F47" s="251">
        <v>5.2499999999999998E-2</v>
      </c>
      <c r="G47" s="253">
        <f t="shared" si="4"/>
        <v>4.4589041095890397E-3</v>
      </c>
      <c r="H47" s="254">
        <f t="shared" si="2"/>
        <v>4.0200571246042502E-3</v>
      </c>
    </row>
    <row r="48" spans="2:8" ht="15.75" thickBot="1" x14ac:dyDescent="0.3">
      <c r="B48" s="250">
        <v>23</v>
      </c>
      <c r="C48" s="263">
        <v>43763</v>
      </c>
      <c r="D48" s="255">
        <f t="shared" si="3"/>
        <v>30</v>
      </c>
      <c r="E48" s="255">
        <f t="shared" si="0"/>
        <v>679</v>
      </c>
      <c r="F48" s="251">
        <v>5.2499999999999998E-2</v>
      </c>
      <c r="G48" s="253">
        <f t="shared" si="4"/>
        <v>4.31506849315068E-3</v>
      </c>
      <c r="H48" s="254">
        <f t="shared" si="2"/>
        <v>3.8717905113703401E-3</v>
      </c>
    </row>
    <row r="49" spans="2:8" ht="15.75" thickBot="1" x14ac:dyDescent="0.3">
      <c r="B49" s="250">
        <v>24</v>
      </c>
      <c r="C49" s="263">
        <v>43794</v>
      </c>
      <c r="D49" s="255">
        <f t="shared" si="3"/>
        <v>31</v>
      </c>
      <c r="E49" s="255">
        <f t="shared" si="0"/>
        <v>710</v>
      </c>
      <c r="F49" s="251">
        <v>5.2499999999999998E-2</v>
      </c>
      <c r="G49" s="253">
        <f>ROUND($C$56*D49+1,17)</f>
        <v>1.0044589041095899</v>
      </c>
      <c r="H49" s="254">
        <f t="shared" si="2"/>
        <v>0.89682367628843895</v>
      </c>
    </row>
    <row r="50" spans="2:8" ht="30.75" thickBot="1" x14ac:dyDescent="0.3">
      <c r="B50" s="12" t="s">
        <v>9</v>
      </c>
      <c r="C50" s="13"/>
      <c r="D50" s="13"/>
      <c r="E50" s="13"/>
      <c r="F50" s="13"/>
      <c r="G50" s="264"/>
      <c r="H50" s="265">
        <f>SUM(H26:H49)</f>
        <v>0.9926568179506825</v>
      </c>
    </row>
    <row r="51" spans="2:8" ht="15.75" thickTop="1" x14ac:dyDescent="0.25"/>
    <row r="52" spans="2:8" x14ac:dyDescent="0.25">
      <c r="G52" s="199" t="s">
        <v>35</v>
      </c>
      <c r="H52" s="260">
        <v>0.06</v>
      </c>
    </row>
    <row r="53" spans="2:8" x14ac:dyDescent="0.25">
      <c r="B53" s="199" t="s">
        <v>67</v>
      </c>
      <c r="C53" s="210">
        <v>5.5E-2</v>
      </c>
      <c r="G53" s="199" t="s">
        <v>38</v>
      </c>
      <c r="H53" s="200">
        <v>1.5965358745285001E-4</v>
      </c>
    </row>
    <row r="54" spans="2:8" x14ac:dyDescent="0.25">
      <c r="C54" s="199">
        <f>C53/365</f>
        <v>1.5068493150684933E-4</v>
      </c>
    </row>
    <row r="55" spans="2:8" x14ac:dyDescent="0.25">
      <c r="B55" s="199" t="s">
        <v>68</v>
      </c>
      <c r="C55" s="210">
        <v>5.2499999999999998E-2</v>
      </c>
      <c r="G55" s="199" t="s">
        <v>35</v>
      </c>
      <c r="H55" s="210">
        <v>0.06</v>
      </c>
    </row>
    <row r="56" spans="2:8" x14ac:dyDescent="0.25">
      <c r="C56" s="199">
        <f>C55/365</f>
        <v>1.4383561643835615E-4</v>
      </c>
    </row>
    <row r="57" spans="2:8" x14ac:dyDescent="0.25">
      <c r="G57" s="199" t="s">
        <v>36</v>
      </c>
      <c r="H57" s="200">
        <f>ROUND((((1+H55)^(1/365))-1),17)</f>
        <v>1.5965358745285001E-4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baseColWidth="10" defaultRowHeight="15" x14ac:dyDescent="0.25"/>
  <cols>
    <col min="1" max="1" width="4.5703125" style="199" customWidth="1"/>
    <col min="2" max="2" width="11.42578125" style="199"/>
    <col min="3" max="3" width="23.140625" style="199" customWidth="1"/>
    <col min="4" max="4" width="12.85546875" style="199" customWidth="1"/>
    <col min="5" max="5" width="22.28515625" style="199" customWidth="1"/>
    <col min="6" max="6" width="21.42578125" style="199" customWidth="1"/>
    <col min="7" max="8" width="19.5703125" style="199" bestFit="1" customWidth="1"/>
    <col min="9" max="9" width="20.85546875" style="199" customWidth="1"/>
    <col min="10" max="16384" width="11.42578125" style="199"/>
  </cols>
  <sheetData>
    <row r="2" spans="2:4" x14ac:dyDescent="0.25">
      <c r="B2" s="5" t="s">
        <v>75</v>
      </c>
    </row>
    <row r="4" spans="2:4" ht="15.75" x14ac:dyDescent="0.25">
      <c r="B4" s="202" t="s">
        <v>162</v>
      </c>
    </row>
    <row r="5" spans="2:4" ht="15.75" x14ac:dyDescent="0.25">
      <c r="B5" s="202" t="s">
        <v>163</v>
      </c>
      <c r="D5" s="216" t="s">
        <v>200</v>
      </c>
    </row>
    <row r="6" spans="2:4" ht="15.75" x14ac:dyDescent="0.25">
      <c r="B6" s="202" t="s">
        <v>103</v>
      </c>
      <c r="D6" s="259" t="s">
        <v>321</v>
      </c>
    </row>
    <row r="7" spans="2:4" ht="15.75" x14ac:dyDescent="0.25">
      <c r="B7" s="202" t="s">
        <v>105</v>
      </c>
      <c r="D7" s="259" t="s">
        <v>322</v>
      </c>
    </row>
    <row r="8" spans="2:4" ht="15.75" x14ac:dyDescent="0.25">
      <c r="B8" s="202" t="s">
        <v>201</v>
      </c>
      <c r="D8" s="216" t="s">
        <v>202</v>
      </c>
    </row>
    <row r="9" spans="2:4" ht="15.75" x14ac:dyDescent="0.25">
      <c r="B9" s="202" t="s">
        <v>153</v>
      </c>
      <c r="D9" s="216" t="s">
        <v>159</v>
      </c>
    </row>
    <row r="10" spans="2:4" ht="15.75" x14ac:dyDescent="0.25">
      <c r="B10" s="202" t="s">
        <v>167</v>
      </c>
      <c r="D10" s="216" t="s">
        <v>88</v>
      </c>
    </row>
    <row r="11" spans="2:4" ht="15.75" x14ac:dyDescent="0.25">
      <c r="B11" s="202" t="s">
        <v>112</v>
      </c>
      <c r="D11" s="266">
        <v>1</v>
      </c>
    </row>
    <row r="12" spans="2:4" ht="15.75" x14ac:dyDescent="0.25">
      <c r="B12" s="202" t="s">
        <v>177</v>
      </c>
      <c r="D12" s="216" t="s">
        <v>203</v>
      </c>
    </row>
    <row r="13" spans="2:4" ht="15.75" x14ac:dyDescent="0.25">
      <c r="B13" s="202" t="s">
        <v>170</v>
      </c>
      <c r="D13" s="216" t="s">
        <v>180</v>
      </c>
    </row>
    <row r="14" spans="2:4" ht="15.75" x14ac:dyDescent="0.25">
      <c r="B14" s="202" t="s">
        <v>181</v>
      </c>
      <c r="D14" s="216" t="s">
        <v>204</v>
      </c>
    </row>
    <row r="17" spans="2:9" ht="15.75" thickBot="1" x14ac:dyDescent="0.3"/>
    <row r="18" spans="2:9" ht="33.75" customHeight="1" x14ac:dyDescent="0.25">
      <c r="B18" s="318" t="s">
        <v>55</v>
      </c>
      <c r="C18" s="320" t="s">
        <v>66</v>
      </c>
      <c r="D18" s="320" t="s">
        <v>57</v>
      </c>
      <c r="E18" s="320" t="s">
        <v>62</v>
      </c>
      <c r="F18" s="324" t="s">
        <v>60</v>
      </c>
      <c r="G18" s="326" t="s">
        <v>61</v>
      </c>
      <c r="H18" s="328" t="s">
        <v>63</v>
      </c>
      <c r="I18" s="322" t="s">
        <v>65</v>
      </c>
    </row>
    <row r="19" spans="2:9" ht="15.75" customHeight="1" thickBot="1" x14ac:dyDescent="0.3">
      <c r="B19" s="319"/>
      <c r="C19" s="321"/>
      <c r="D19" s="321"/>
      <c r="E19" s="321"/>
      <c r="F19" s="325"/>
      <c r="G19" s="327"/>
      <c r="H19" s="329"/>
      <c r="I19" s="323"/>
    </row>
    <row r="20" spans="2:9" ht="15.75" thickBot="1" x14ac:dyDescent="0.3">
      <c r="B20" s="267">
        <v>43120</v>
      </c>
      <c r="C20" s="268"/>
      <c r="D20" s="269"/>
      <c r="E20" s="269"/>
      <c r="F20" s="270"/>
      <c r="H20" s="271">
        <v>1</v>
      </c>
      <c r="I20" s="269"/>
    </row>
    <row r="21" spans="2:9" ht="15.75" thickBot="1" x14ac:dyDescent="0.3">
      <c r="B21" s="272">
        <v>43301</v>
      </c>
      <c r="C21" s="273">
        <f>B21-B20</f>
        <v>181</v>
      </c>
      <c r="D21" s="255">
        <f>B21-$B$20</f>
        <v>181</v>
      </c>
      <c r="E21" s="253">
        <f>F21+G21</f>
        <v>0.1497945205479452</v>
      </c>
      <c r="F21" s="274">
        <f>ROUND(H20*C21*$C$34,17)</f>
        <v>2.47945205479452E-2</v>
      </c>
      <c r="G21" s="275">
        <v>0.125</v>
      </c>
      <c r="H21" s="276">
        <f>H20-G21</f>
        <v>0.875</v>
      </c>
      <c r="I21" s="277">
        <f>ROUND(E21/((1+$C$32)^(D21)),17)</f>
        <v>0.145528144248422</v>
      </c>
    </row>
    <row r="22" spans="2:9" ht="15.75" thickBot="1" x14ac:dyDescent="0.3">
      <c r="B22" s="272">
        <v>43485</v>
      </c>
      <c r="C22" s="273">
        <f t="shared" ref="C22:C28" si="0">B22-B21</f>
        <v>184</v>
      </c>
      <c r="D22" s="255">
        <f t="shared" ref="D22:D28" si="1">B22-$B$20</f>
        <v>365</v>
      </c>
      <c r="E22" s="253">
        <f t="shared" ref="E22:E28" si="2">F22+G22</f>
        <v>0.1470547945205479</v>
      </c>
      <c r="F22" s="274">
        <f>ROUND(H21*C22*$C$34,17)</f>
        <v>2.2054794520547899E-2</v>
      </c>
      <c r="G22" s="278">
        <v>0.125</v>
      </c>
      <c r="H22" s="275">
        <f>H21-G22</f>
        <v>0.75</v>
      </c>
      <c r="I22" s="277">
        <f>ROUND(E22/((1+$C$32)^(D22)),17)</f>
        <v>0.138730938226936</v>
      </c>
    </row>
    <row r="23" spans="2:9" ht="15.75" thickBot="1" x14ac:dyDescent="0.3">
      <c r="B23" s="272">
        <v>43666</v>
      </c>
      <c r="C23" s="273">
        <f t="shared" si="0"/>
        <v>181</v>
      </c>
      <c r="D23" s="255">
        <f t="shared" si="1"/>
        <v>546</v>
      </c>
      <c r="E23" s="253">
        <f t="shared" si="2"/>
        <v>0.14359589041095891</v>
      </c>
      <c r="F23" s="274">
        <f t="shared" ref="F23:F28" si="3">ROUND(H22*C23*$C$34,17)</f>
        <v>1.8595890410958899E-2</v>
      </c>
      <c r="G23" s="275">
        <v>0.125</v>
      </c>
      <c r="H23" s="276">
        <f t="shared" ref="H23:H28" si="4">H22-G23</f>
        <v>0.625</v>
      </c>
      <c r="I23" s="277">
        <f t="shared" ref="I23:I28" si="5">ROUND(E23/((1+$C$32)^(D23)),17)</f>
        <v>0.13160949108230699</v>
      </c>
    </row>
    <row r="24" spans="2:9" ht="15.75" thickBot="1" x14ac:dyDescent="0.3">
      <c r="B24" s="272">
        <v>43850</v>
      </c>
      <c r="C24" s="273">
        <f t="shared" si="0"/>
        <v>184</v>
      </c>
      <c r="D24" s="255">
        <f t="shared" si="1"/>
        <v>730</v>
      </c>
      <c r="E24" s="253">
        <f t="shared" si="2"/>
        <v>0.14075342465753421</v>
      </c>
      <c r="F24" s="274">
        <f t="shared" si="3"/>
        <v>1.5753424657534199E-2</v>
      </c>
      <c r="G24" s="278">
        <v>0.125</v>
      </c>
      <c r="H24" s="275">
        <f t="shared" si="4"/>
        <v>0.5</v>
      </c>
      <c r="I24" s="277">
        <f t="shared" si="5"/>
        <v>0.12527004686502499</v>
      </c>
    </row>
    <row r="25" spans="2:9" ht="15.75" thickBot="1" x14ac:dyDescent="0.3">
      <c r="B25" s="272">
        <v>44032</v>
      </c>
      <c r="C25" s="273">
        <f t="shared" si="0"/>
        <v>182</v>
      </c>
      <c r="D25" s="255">
        <f t="shared" si="1"/>
        <v>912</v>
      </c>
      <c r="E25" s="253">
        <f t="shared" si="2"/>
        <v>0.1374657534246575</v>
      </c>
      <c r="F25" s="274">
        <f t="shared" si="3"/>
        <v>1.24657534246575E-2</v>
      </c>
      <c r="G25" s="275">
        <v>0.125</v>
      </c>
      <c r="H25" s="276">
        <f t="shared" si="4"/>
        <v>0.375</v>
      </c>
      <c r="I25" s="277">
        <f t="shared" si="5"/>
        <v>0.118840513342356</v>
      </c>
    </row>
    <row r="26" spans="2:9" ht="15.75" thickBot="1" x14ac:dyDescent="0.3">
      <c r="B26" s="272">
        <v>44216</v>
      </c>
      <c r="C26" s="273">
        <f t="shared" si="0"/>
        <v>184</v>
      </c>
      <c r="D26" s="255">
        <f t="shared" si="1"/>
        <v>1096</v>
      </c>
      <c r="E26" s="253">
        <f t="shared" si="2"/>
        <v>0.13445205479452055</v>
      </c>
      <c r="F26" s="274">
        <f t="shared" si="3"/>
        <v>9.4520547945205497E-3</v>
      </c>
      <c r="G26" s="278">
        <v>0.125</v>
      </c>
      <c r="H26" s="275">
        <f t="shared" si="4"/>
        <v>0.25</v>
      </c>
      <c r="I26" s="277">
        <f t="shared" si="5"/>
        <v>0.11287051766574201</v>
      </c>
    </row>
    <row r="27" spans="2:9" ht="15.75" thickBot="1" x14ac:dyDescent="0.3">
      <c r="B27" s="272">
        <v>44397</v>
      </c>
      <c r="C27" s="273">
        <f t="shared" si="0"/>
        <v>181</v>
      </c>
      <c r="D27" s="255">
        <f t="shared" si="1"/>
        <v>1277</v>
      </c>
      <c r="E27" s="253">
        <f t="shared" si="2"/>
        <v>0.13119863013698629</v>
      </c>
      <c r="F27" s="274">
        <f t="shared" si="3"/>
        <v>6.1986301369863E-3</v>
      </c>
      <c r="G27" s="275">
        <v>0.125</v>
      </c>
      <c r="H27" s="275">
        <f t="shared" si="4"/>
        <v>0.125</v>
      </c>
      <c r="I27" s="277">
        <f t="shared" si="5"/>
        <v>0.10700238002241599</v>
      </c>
    </row>
    <row r="28" spans="2:9" ht="15.75" thickBot="1" x14ac:dyDescent="0.3">
      <c r="B28" s="279">
        <v>44581</v>
      </c>
      <c r="C28" s="273">
        <f t="shared" si="0"/>
        <v>184</v>
      </c>
      <c r="D28" s="255">
        <f t="shared" si="1"/>
        <v>1461</v>
      </c>
      <c r="E28" s="253">
        <f t="shared" si="2"/>
        <v>0.12815068493150686</v>
      </c>
      <c r="F28" s="274">
        <f t="shared" si="3"/>
        <v>3.1506849315068499E-3</v>
      </c>
      <c r="G28" s="278">
        <v>0.125</v>
      </c>
      <c r="H28" s="276">
        <f t="shared" si="4"/>
        <v>0</v>
      </c>
      <c r="I28" s="277">
        <f t="shared" si="5"/>
        <v>0.10149114204894701</v>
      </c>
    </row>
    <row r="29" spans="2:9" ht="45.75" thickBot="1" x14ac:dyDescent="0.3">
      <c r="B29" s="280" t="s">
        <v>39</v>
      </c>
      <c r="C29" s="281"/>
      <c r="D29" s="282"/>
      <c r="E29" s="283"/>
      <c r="F29" s="284"/>
      <c r="G29" s="285"/>
      <c r="H29" s="286"/>
      <c r="I29" s="287">
        <f>ROUND(SUM(I21:I28),17)</f>
        <v>0.98134317350215094</v>
      </c>
    </row>
    <row r="31" spans="2:9" x14ac:dyDescent="0.25">
      <c r="B31" s="199" t="s">
        <v>7</v>
      </c>
      <c r="C31" s="205">
        <v>0.06</v>
      </c>
    </row>
    <row r="32" spans="2:9" x14ac:dyDescent="0.25">
      <c r="B32" s="199" t="s">
        <v>50</v>
      </c>
      <c r="C32" s="200">
        <f>ROUND(((((1+C31)^(1/365))-1)),17)</f>
        <v>1.5965358745285001E-4</v>
      </c>
    </row>
    <row r="33" spans="2:3" x14ac:dyDescent="0.25">
      <c r="B33" s="199" t="s">
        <v>6</v>
      </c>
      <c r="C33" s="205">
        <v>0.05</v>
      </c>
    </row>
    <row r="34" spans="2:3" x14ac:dyDescent="0.25">
      <c r="B34" s="199" t="s">
        <v>64</v>
      </c>
      <c r="C34" s="199">
        <f>C33/365</f>
        <v>1.3698630136986303E-4</v>
      </c>
    </row>
  </sheetData>
  <mergeCells count="8">
    <mergeCell ref="B18:B19"/>
    <mergeCell ref="C18:C19"/>
    <mergeCell ref="D18:D19"/>
    <mergeCell ref="E18:E19"/>
    <mergeCell ref="I18:I19"/>
    <mergeCell ref="F18:F19"/>
    <mergeCell ref="G18:G19"/>
    <mergeCell ref="H18:H1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sqref="A1:XFD1048576"/>
    </sheetView>
  </sheetViews>
  <sheetFormatPr baseColWidth="10" defaultRowHeight="15" x14ac:dyDescent="0.25"/>
  <cols>
    <col min="1" max="1" width="4.140625" style="199" customWidth="1"/>
    <col min="2" max="2" width="30.85546875" style="199" customWidth="1"/>
    <col min="3" max="3" width="40" style="199" customWidth="1"/>
    <col min="4" max="16384" width="11.42578125" style="199"/>
  </cols>
  <sheetData>
    <row r="2" spans="2:3" ht="15.75" x14ac:dyDescent="0.25">
      <c r="B2" s="288" t="s">
        <v>78</v>
      </c>
    </row>
    <row r="4" spans="2:3" ht="15.75" x14ac:dyDescent="0.25">
      <c r="B4" s="202" t="s">
        <v>79</v>
      </c>
      <c r="C4" s="216" t="s">
        <v>80</v>
      </c>
    </row>
    <row r="5" spans="2:3" ht="15.75" x14ac:dyDescent="0.25">
      <c r="B5" s="202" t="s">
        <v>81</v>
      </c>
      <c r="C5" s="216" t="s">
        <v>82</v>
      </c>
    </row>
    <row r="6" spans="2:3" ht="15.75" x14ac:dyDescent="0.25">
      <c r="B6" s="202" t="s">
        <v>83</v>
      </c>
      <c r="C6" s="216" t="s">
        <v>84</v>
      </c>
    </row>
    <row r="7" spans="2:3" ht="15.75" x14ac:dyDescent="0.25">
      <c r="B7" s="202" t="s">
        <v>85</v>
      </c>
      <c r="C7" s="289">
        <v>3000000</v>
      </c>
    </row>
    <row r="8" spans="2:3" ht="15.75" x14ac:dyDescent="0.25">
      <c r="B8" s="202" t="s">
        <v>95</v>
      </c>
      <c r="C8" s="216">
        <v>120</v>
      </c>
    </row>
    <row r="9" spans="2:3" ht="15.75" x14ac:dyDescent="0.25">
      <c r="B9" s="202" t="s">
        <v>86</v>
      </c>
      <c r="C9" s="215">
        <v>4.8500000000000001E-2</v>
      </c>
    </row>
    <row r="10" spans="2:3" ht="15.75" x14ac:dyDescent="0.25">
      <c r="B10" s="202" t="s">
        <v>87</v>
      </c>
      <c r="C10" s="216" t="s">
        <v>88</v>
      </c>
    </row>
    <row r="11" spans="2:3" ht="15.75" x14ac:dyDescent="0.25">
      <c r="B11" s="202" t="s">
        <v>89</v>
      </c>
      <c r="C11" s="216" t="s">
        <v>90</v>
      </c>
    </row>
    <row r="12" spans="2:3" ht="15.75" x14ac:dyDescent="0.25">
      <c r="B12" s="202" t="s">
        <v>91</v>
      </c>
      <c r="C12" s="216" t="s">
        <v>92</v>
      </c>
    </row>
    <row r="13" spans="2:3" ht="15.75" x14ac:dyDescent="0.25">
      <c r="B13" s="202" t="s">
        <v>93</v>
      </c>
      <c r="C13" s="202" t="s">
        <v>94</v>
      </c>
    </row>
    <row r="16" spans="2:3" x14ac:dyDescent="0.25">
      <c r="C16" s="290">
        <f>C7</f>
        <v>3000000</v>
      </c>
    </row>
    <row r="17" spans="2:3" x14ac:dyDescent="0.25">
      <c r="C17" s="290">
        <f>ROUND(C16+(C16*120*(C9/365)),17)</f>
        <v>3047835.61643836</v>
      </c>
    </row>
    <row r="18" spans="2:3" x14ac:dyDescent="0.25">
      <c r="C18" s="290"/>
    </row>
    <row r="19" spans="2:3" x14ac:dyDescent="0.25">
      <c r="C19" s="290">
        <f>ROUND(((C17-C16)/C8),17)</f>
        <v>398.63013698633301</v>
      </c>
    </row>
    <row r="20" spans="2:3" x14ac:dyDescent="0.25">
      <c r="C20" s="290"/>
    </row>
    <row r="21" spans="2:3" x14ac:dyDescent="0.25">
      <c r="C21" s="290">
        <f>ROUND(C16+((C17-C16)/C8)*1,17)</f>
        <v>3000398.63013699</v>
      </c>
    </row>
    <row r="22" spans="2:3" x14ac:dyDescent="0.25">
      <c r="C22" s="290"/>
    </row>
    <row r="23" spans="2:3" x14ac:dyDescent="0.25">
      <c r="C23" s="290">
        <f>ROUND(C16+((C17-C16)/C8)*30,17)</f>
        <v>3011958.9041095902</v>
      </c>
    </row>
    <row r="25" spans="2:3" x14ac:dyDescent="0.25">
      <c r="B25" s="199" t="s">
        <v>96</v>
      </c>
      <c r="C25" s="290">
        <f>ROUND((C7*C9*30/365),17)</f>
        <v>11958.904109589001</v>
      </c>
    </row>
    <row r="27" spans="2:3" x14ac:dyDescent="0.25">
      <c r="B27" s="199" t="s">
        <v>97</v>
      </c>
      <c r="C27" s="290">
        <f>C23-C25</f>
        <v>3000000.0000000014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workbookViewId="0">
      <selection sqref="A1:XFD1048576"/>
    </sheetView>
  </sheetViews>
  <sheetFormatPr baseColWidth="10" defaultRowHeight="15" x14ac:dyDescent="0.25"/>
  <cols>
    <col min="1" max="1" width="5.85546875" style="199" customWidth="1"/>
    <col min="2" max="2" width="28.28515625" style="199" customWidth="1"/>
    <col min="3" max="3" width="29" style="199" customWidth="1"/>
    <col min="4" max="16384" width="11.42578125" style="199"/>
  </cols>
  <sheetData>
    <row r="2" spans="2:3" x14ac:dyDescent="0.25">
      <c r="B2" s="5" t="s">
        <v>98</v>
      </c>
    </row>
    <row r="4" spans="2:3" ht="15.75" x14ac:dyDescent="0.25">
      <c r="B4" s="202" t="s">
        <v>79</v>
      </c>
      <c r="C4" s="216" t="s">
        <v>80</v>
      </c>
    </row>
    <row r="5" spans="2:3" ht="15.75" x14ac:dyDescent="0.25">
      <c r="B5" s="202" t="s">
        <v>81</v>
      </c>
      <c r="C5" s="216" t="s">
        <v>82</v>
      </c>
    </row>
    <row r="6" spans="2:3" ht="15.75" x14ac:dyDescent="0.25">
      <c r="B6" s="202" t="s">
        <v>83</v>
      </c>
      <c r="C6" s="216" t="s">
        <v>84</v>
      </c>
    </row>
    <row r="7" spans="2:3" ht="15.75" x14ac:dyDescent="0.25">
      <c r="B7" s="202" t="s">
        <v>85</v>
      </c>
      <c r="C7" s="289">
        <v>3000000</v>
      </c>
    </row>
    <row r="8" spans="2:3" ht="15.75" x14ac:dyDescent="0.25">
      <c r="B8" s="202" t="s">
        <v>95</v>
      </c>
      <c r="C8" s="216">
        <v>120</v>
      </c>
    </row>
    <row r="9" spans="2:3" ht="15.75" x14ac:dyDescent="0.25">
      <c r="B9" s="202" t="s">
        <v>86</v>
      </c>
      <c r="C9" s="215">
        <v>4.8500000000000001E-2</v>
      </c>
    </row>
    <row r="10" spans="2:3" ht="15.75" x14ac:dyDescent="0.25">
      <c r="B10" s="202" t="s">
        <v>87</v>
      </c>
      <c r="C10" s="216" t="s">
        <v>88</v>
      </c>
    </row>
    <row r="11" spans="2:3" ht="15.75" x14ac:dyDescent="0.25">
      <c r="B11" s="202" t="s">
        <v>89</v>
      </c>
      <c r="C11" s="216" t="s">
        <v>90</v>
      </c>
    </row>
    <row r="12" spans="2:3" ht="15.75" x14ac:dyDescent="0.25">
      <c r="B12" s="202" t="s">
        <v>91</v>
      </c>
      <c r="C12" s="216" t="s">
        <v>92</v>
      </c>
    </row>
    <row r="13" spans="2:3" ht="15.75" x14ac:dyDescent="0.25">
      <c r="B13" s="202" t="s">
        <v>93</v>
      </c>
      <c r="C13" s="202" t="s">
        <v>99</v>
      </c>
    </row>
    <row r="15" spans="2:3" x14ac:dyDescent="0.25">
      <c r="C15" s="290">
        <f>ROUND(C7+(C7*120*(C9/365)),17)</f>
        <v>3047835.61643836</v>
      </c>
    </row>
    <row r="16" spans="2:3" x14ac:dyDescent="0.25">
      <c r="C16" s="290"/>
    </row>
    <row r="17" spans="2:3" ht="18.75" x14ac:dyDescent="0.35">
      <c r="B17" s="291" t="s">
        <v>324</v>
      </c>
      <c r="C17" s="290">
        <f>ROUND((C7+(((C15-C7)/C8)*120)),17)</f>
        <v>3047835.61643836</v>
      </c>
    </row>
    <row r="18" spans="2:3" x14ac:dyDescent="0.25">
      <c r="C18" s="290"/>
    </row>
    <row r="19" spans="2:3" ht="18.75" x14ac:dyDescent="0.35">
      <c r="B19" s="292" t="s">
        <v>325</v>
      </c>
      <c r="C19" s="290">
        <f>ROUND((C7*C9*120)/365,17)</f>
        <v>47835.616438356199</v>
      </c>
    </row>
    <row r="20" spans="2:3" x14ac:dyDescent="0.25">
      <c r="C20" s="290"/>
    </row>
    <row r="21" spans="2:3" x14ac:dyDescent="0.25">
      <c r="C21" s="290"/>
    </row>
    <row r="22" spans="2:3" x14ac:dyDescent="0.25">
      <c r="C22" s="290"/>
    </row>
    <row r="23" spans="2:3" x14ac:dyDescent="0.25">
      <c r="C23" s="290"/>
    </row>
    <row r="24" spans="2:3" x14ac:dyDescent="0.25">
      <c r="C24" s="290"/>
    </row>
    <row r="25" spans="2:3" x14ac:dyDescent="0.25">
      <c r="C25" s="290"/>
    </row>
    <row r="26" spans="2:3" x14ac:dyDescent="0.25">
      <c r="C26" s="290"/>
    </row>
    <row r="27" spans="2:3" x14ac:dyDescent="0.25">
      <c r="C27" s="290"/>
    </row>
    <row r="28" spans="2:3" x14ac:dyDescent="0.25">
      <c r="C28" s="290"/>
    </row>
    <row r="29" spans="2:3" x14ac:dyDescent="0.25">
      <c r="C29" s="290"/>
    </row>
    <row r="30" spans="2:3" x14ac:dyDescent="0.25">
      <c r="C30" s="290"/>
    </row>
    <row r="31" spans="2:3" x14ac:dyDescent="0.25">
      <c r="C31" s="290"/>
    </row>
    <row r="32" spans="2:3" x14ac:dyDescent="0.25">
      <c r="C32" s="290"/>
    </row>
    <row r="33" spans="3:3" x14ac:dyDescent="0.25">
      <c r="C33" s="290"/>
    </row>
    <row r="34" spans="3:3" x14ac:dyDescent="0.25">
      <c r="C34" s="290"/>
    </row>
    <row r="35" spans="3:3" x14ac:dyDescent="0.25">
      <c r="C35" s="290"/>
    </row>
    <row r="36" spans="3:3" x14ac:dyDescent="0.25">
      <c r="C36" s="290"/>
    </row>
    <row r="37" spans="3:3" x14ac:dyDescent="0.25">
      <c r="C37" s="290"/>
    </row>
    <row r="38" spans="3:3" x14ac:dyDescent="0.25">
      <c r="C38" s="290"/>
    </row>
    <row r="39" spans="3:3" x14ac:dyDescent="0.25">
      <c r="C39" s="290"/>
    </row>
    <row r="40" spans="3:3" x14ac:dyDescent="0.25">
      <c r="C40" s="290"/>
    </row>
    <row r="41" spans="3:3" x14ac:dyDescent="0.25">
      <c r="C41" s="290"/>
    </row>
    <row r="42" spans="3:3" x14ac:dyDescent="0.25">
      <c r="C42" s="290"/>
    </row>
    <row r="43" spans="3:3" x14ac:dyDescent="0.25">
      <c r="C43" s="290"/>
    </row>
    <row r="44" spans="3:3" x14ac:dyDescent="0.25">
      <c r="C44" s="290"/>
    </row>
    <row r="45" spans="3:3" x14ac:dyDescent="0.25">
      <c r="C45" s="290"/>
    </row>
    <row r="46" spans="3:3" x14ac:dyDescent="0.25">
      <c r="C46" s="290"/>
    </row>
    <row r="47" spans="3:3" x14ac:dyDescent="0.25">
      <c r="C47" s="290"/>
    </row>
    <row r="48" spans="3:3" x14ac:dyDescent="0.25">
      <c r="C48" s="290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zoomScaleNormal="100" workbookViewId="0">
      <selection sqref="A1:XFD1048576"/>
    </sheetView>
  </sheetViews>
  <sheetFormatPr baseColWidth="10" defaultRowHeight="15" x14ac:dyDescent="0.25"/>
  <cols>
    <col min="1" max="1" width="5.28515625" style="199" customWidth="1"/>
    <col min="2" max="7" width="11.42578125" style="199"/>
    <col min="8" max="8" width="20.28515625" style="199" customWidth="1"/>
    <col min="9" max="16384" width="11.42578125" style="199"/>
  </cols>
  <sheetData>
    <row r="2" spans="2:8" x14ac:dyDescent="0.25">
      <c r="B2" s="5" t="s">
        <v>76</v>
      </c>
    </row>
    <row r="3" spans="2:8" x14ac:dyDescent="0.25">
      <c r="B3" s="5"/>
    </row>
    <row r="4" spans="2:8" ht="15.75" x14ac:dyDescent="0.25">
      <c r="B4" s="202" t="s">
        <v>162</v>
      </c>
    </row>
    <row r="5" spans="2:8" ht="15.75" x14ac:dyDescent="0.25">
      <c r="B5" s="202" t="s">
        <v>213</v>
      </c>
      <c r="E5" s="202" t="s">
        <v>264</v>
      </c>
    </row>
    <row r="6" spans="2:8" ht="15.75" x14ac:dyDescent="0.25">
      <c r="B6" s="202" t="s">
        <v>207</v>
      </c>
      <c r="E6" s="202" t="s">
        <v>206</v>
      </c>
    </row>
    <row r="7" spans="2:8" ht="15.75" x14ac:dyDescent="0.25">
      <c r="B7" s="202" t="s">
        <v>208</v>
      </c>
      <c r="E7" s="202" t="s">
        <v>209</v>
      </c>
    </row>
    <row r="8" spans="2:8" x14ac:dyDescent="0.25">
      <c r="B8" s="5"/>
    </row>
    <row r="9" spans="2:8" ht="15.75" thickBot="1" x14ac:dyDescent="0.3"/>
    <row r="10" spans="2:8" ht="61.5" thickTop="1" thickBot="1" x14ac:dyDescent="0.3">
      <c r="B10" s="6" t="s">
        <v>40</v>
      </c>
      <c r="C10" s="7" t="s">
        <v>41</v>
      </c>
      <c r="D10" s="7" t="s">
        <v>42</v>
      </c>
      <c r="E10" s="7" t="s">
        <v>43</v>
      </c>
      <c r="F10" s="7" t="s">
        <v>44</v>
      </c>
      <c r="G10" s="7" t="s">
        <v>45</v>
      </c>
      <c r="H10" s="262" t="s">
        <v>46</v>
      </c>
    </row>
    <row r="11" spans="2:8" ht="15.75" thickBot="1" x14ac:dyDescent="0.3">
      <c r="B11" s="293">
        <v>42901</v>
      </c>
      <c r="C11" s="294">
        <v>2</v>
      </c>
      <c r="D11" s="295">
        <v>1500</v>
      </c>
      <c r="E11" s="255"/>
      <c r="F11" s="294"/>
      <c r="G11" s="294"/>
      <c r="H11" s="296"/>
    </row>
    <row r="12" spans="2:8" ht="15.75" thickBot="1" x14ac:dyDescent="0.3">
      <c r="B12" s="293">
        <v>42901</v>
      </c>
      <c r="C12" s="294">
        <v>2.2999999999999998</v>
      </c>
      <c r="D12" s="295">
        <v>1300</v>
      </c>
      <c r="E12" s="255">
        <v>1</v>
      </c>
      <c r="F12" s="297">
        <f>(D11*C11+D12*C12)/(D11+D12)</f>
        <v>2.1392857142857142</v>
      </c>
      <c r="G12" s="295">
        <f>D11+D12</f>
        <v>2800</v>
      </c>
      <c r="H12" s="296">
        <f>ROUND(((G12/$G$38)*F12),17)</f>
        <v>0.167740128815458</v>
      </c>
    </row>
    <row r="13" spans="2:8" ht="15.75" thickBot="1" x14ac:dyDescent="0.3">
      <c r="B13" s="293">
        <v>42900</v>
      </c>
      <c r="C13" s="294">
        <v>2.25</v>
      </c>
      <c r="D13" s="295">
        <v>1200</v>
      </c>
      <c r="E13" s="255"/>
      <c r="F13" s="297"/>
      <c r="G13" s="294"/>
      <c r="H13" s="296"/>
    </row>
    <row r="14" spans="2:8" ht="15.75" thickBot="1" x14ac:dyDescent="0.3">
      <c r="B14" s="293">
        <v>42900</v>
      </c>
      <c r="C14" s="294">
        <v>2.2000000000000002</v>
      </c>
      <c r="D14" s="295">
        <v>1500</v>
      </c>
      <c r="E14" s="255"/>
      <c r="F14" s="297"/>
      <c r="G14" s="294"/>
      <c r="H14" s="296"/>
    </row>
    <row r="15" spans="2:8" ht="15.75" thickBot="1" x14ac:dyDescent="0.3">
      <c r="B15" s="293">
        <v>42900</v>
      </c>
      <c r="C15" s="294">
        <v>2.25</v>
      </c>
      <c r="D15" s="295">
        <v>2000</v>
      </c>
      <c r="E15" s="255"/>
      <c r="F15" s="297"/>
      <c r="G15" s="294"/>
      <c r="H15" s="296"/>
    </row>
    <row r="16" spans="2:8" ht="15.75" thickBot="1" x14ac:dyDescent="0.3">
      <c r="B16" s="293">
        <v>42900</v>
      </c>
      <c r="C16" s="294">
        <v>2.2999999999999998</v>
      </c>
      <c r="D16" s="295">
        <v>1000</v>
      </c>
      <c r="E16" s="255">
        <v>2</v>
      </c>
      <c r="F16" s="297">
        <f>(C13*D13+C14*D14+C15*D15+C16*D16)/(D13+D14+D15+D16)</f>
        <v>2.2456140350877192</v>
      </c>
      <c r="G16" s="295">
        <v>5700</v>
      </c>
      <c r="H16" s="296">
        <f>ROUND(((G16/$G$38)*F16),17)</f>
        <v>0.358443013161579</v>
      </c>
    </row>
    <row r="17" spans="2:8" ht="15.75" thickBot="1" x14ac:dyDescent="0.3">
      <c r="B17" s="293">
        <v>42899</v>
      </c>
      <c r="C17" s="294">
        <v>2.25</v>
      </c>
      <c r="D17" s="294">
        <v>600</v>
      </c>
      <c r="E17" s="255"/>
      <c r="F17" s="297"/>
      <c r="G17" s="294"/>
      <c r="H17" s="296"/>
    </row>
    <row r="18" spans="2:8" ht="15.75" thickBot="1" x14ac:dyDescent="0.3">
      <c r="B18" s="293">
        <v>42899</v>
      </c>
      <c r="C18" s="294">
        <v>2.25</v>
      </c>
      <c r="D18" s="294">
        <v>300</v>
      </c>
      <c r="E18" s="255"/>
      <c r="F18" s="297"/>
      <c r="G18" s="294"/>
      <c r="H18" s="296"/>
    </row>
    <row r="19" spans="2:8" ht="15.75" thickBot="1" x14ac:dyDescent="0.3">
      <c r="B19" s="293">
        <v>42899</v>
      </c>
      <c r="C19" s="294">
        <v>2.2999999999999998</v>
      </c>
      <c r="D19" s="295">
        <v>1000</v>
      </c>
      <c r="E19" s="255">
        <v>3</v>
      </c>
      <c r="F19" s="297">
        <f>(C16*D16+C17*D17+C18*D18+C19*D19)/(D16+D17+D18+D19)</f>
        <v>2.2844827586206895</v>
      </c>
      <c r="G19" s="295">
        <v>1900</v>
      </c>
      <c r="H19" s="296">
        <f>ROUND(((G19/$G$38)*F19),17)</f>
        <v>0.12154906864685799</v>
      </c>
    </row>
    <row r="20" spans="2:8" ht="15.75" thickBot="1" x14ac:dyDescent="0.3">
      <c r="B20" s="293">
        <v>42896</v>
      </c>
      <c r="C20" s="294">
        <v>2.15</v>
      </c>
      <c r="D20" s="295">
        <v>1500</v>
      </c>
      <c r="E20" s="255"/>
      <c r="F20" s="297"/>
      <c r="G20" s="294"/>
      <c r="H20" s="296"/>
    </row>
    <row r="21" spans="2:8" ht="15.75" thickBot="1" x14ac:dyDescent="0.3">
      <c r="B21" s="293">
        <v>42896</v>
      </c>
      <c r="C21" s="294">
        <v>2.15</v>
      </c>
      <c r="D21" s="295">
        <v>2000</v>
      </c>
      <c r="E21" s="255"/>
      <c r="F21" s="297"/>
      <c r="G21" s="294"/>
      <c r="H21" s="296"/>
    </row>
    <row r="22" spans="2:8" ht="15.75" thickBot="1" x14ac:dyDescent="0.3">
      <c r="B22" s="293">
        <v>42896</v>
      </c>
      <c r="C22" s="294">
        <v>2.25</v>
      </c>
      <c r="D22" s="294">
        <v>800</v>
      </c>
      <c r="E22" s="255"/>
      <c r="F22" s="297"/>
      <c r="G22" s="294"/>
      <c r="H22" s="296"/>
    </row>
    <row r="23" spans="2:8" ht="15.75" thickBot="1" x14ac:dyDescent="0.3">
      <c r="B23" s="293">
        <v>42896</v>
      </c>
      <c r="C23" s="294">
        <v>2.1</v>
      </c>
      <c r="D23" s="295">
        <v>1500</v>
      </c>
      <c r="E23" s="255"/>
      <c r="F23" s="297"/>
      <c r="G23" s="294"/>
      <c r="H23" s="296"/>
    </row>
    <row r="24" spans="2:8" ht="15.75" thickBot="1" x14ac:dyDescent="0.3">
      <c r="B24" s="293">
        <v>42896</v>
      </c>
      <c r="C24" s="294">
        <v>2.15</v>
      </c>
      <c r="D24" s="295">
        <v>1500</v>
      </c>
      <c r="E24" s="255">
        <v>4</v>
      </c>
      <c r="F24" s="297">
        <f>(C20*D20+C21*D21+C22*D22+C23*D23+C24*D24)/(D20+D21+D22+D23+D24)</f>
        <v>2.1506849315068495</v>
      </c>
      <c r="G24" s="295">
        <v>7300</v>
      </c>
      <c r="H24" s="296">
        <f>ROUND(((G24/$G$38)*F24),17)</f>
        <v>0.43965275833099998</v>
      </c>
    </row>
    <row r="25" spans="2:8" ht="15.75" thickBot="1" x14ac:dyDescent="0.3">
      <c r="B25" s="293">
        <v>42894</v>
      </c>
      <c r="C25" s="294">
        <v>2.15</v>
      </c>
      <c r="D25" s="295">
        <v>1750</v>
      </c>
      <c r="E25" s="255"/>
      <c r="F25" s="297"/>
      <c r="G25" s="294"/>
      <c r="H25" s="296"/>
    </row>
    <row r="26" spans="2:8" ht="15.75" thickBot="1" x14ac:dyDescent="0.3">
      <c r="B26" s="293">
        <v>42894</v>
      </c>
      <c r="C26" s="294">
        <v>2</v>
      </c>
      <c r="D26" s="295">
        <v>2650</v>
      </c>
      <c r="E26" s="255"/>
      <c r="F26" s="297"/>
      <c r="G26" s="294"/>
      <c r="H26" s="296"/>
    </row>
    <row r="27" spans="2:8" ht="15.75" thickBot="1" x14ac:dyDescent="0.3">
      <c r="B27" s="293">
        <v>42894</v>
      </c>
      <c r="C27" s="294">
        <v>2.1</v>
      </c>
      <c r="D27" s="295">
        <v>1300</v>
      </c>
      <c r="E27" s="255">
        <v>5</v>
      </c>
      <c r="F27" s="297">
        <f>(C25*D25+C26*D26+C27*D27)/(D25+D26+D27)</f>
        <v>2.0688596491228068</v>
      </c>
      <c r="G27" s="295">
        <v>5700</v>
      </c>
      <c r="H27" s="296">
        <f>ROUND(((G27/$G$38)*F27),17)</f>
        <v>0.33022962755530699</v>
      </c>
    </row>
    <row r="28" spans="2:8" ht="15.75" thickBot="1" x14ac:dyDescent="0.3">
      <c r="B28" s="293">
        <v>42893</v>
      </c>
      <c r="C28" s="294">
        <v>2.2000000000000002</v>
      </c>
      <c r="D28" s="294">
        <v>350</v>
      </c>
      <c r="E28" s="255"/>
      <c r="F28" s="297"/>
      <c r="G28" s="294"/>
      <c r="H28" s="296"/>
    </row>
    <row r="29" spans="2:8" ht="15.75" thickBot="1" x14ac:dyDescent="0.3">
      <c r="B29" s="293">
        <v>42893</v>
      </c>
      <c r="C29" s="294">
        <v>2.15</v>
      </c>
      <c r="D29" s="294">
        <v>975</v>
      </c>
      <c r="E29" s="255"/>
      <c r="F29" s="297"/>
      <c r="G29" s="294"/>
      <c r="H29" s="296"/>
    </row>
    <row r="30" spans="2:8" ht="15.75" thickBot="1" x14ac:dyDescent="0.3">
      <c r="B30" s="293">
        <v>42893</v>
      </c>
      <c r="C30" s="294">
        <v>2.1</v>
      </c>
      <c r="D30" s="295">
        <v>1325</v>
      </c>
      <c r="E30" s="255">
        <v>6</v>
      </c>
      <c r="F30" s="297">
        <f>(C28*D28+C29*D29+C30*D30)/(D28+D29+D30)</f>
        <v>2.1316037735849056</v>
      </c>
      <c r="G30" s="295">
        <v>2650</v>
      </c>
      <c r="H30" s="296">
        <f>ROUND(((G30/$G$38)*F30),17)</f>
        <v>0.15818398207784901</v>
      </c>
    </row>
    <row r="31" spans="2:8" ht="15.75" thickBot="1" x14ac:dyDescent="0.3">
      <c r="B31" s="293">
        <v>42892</v>
      </c>
      <c r="C31" s="294">
        <v>2.15</v>
      </c>
      <c r="D31" s="294">
        <v>775</v>
      </c>
      <c r="E31" s="255"/>
      <c r="F31" s="297"/>
      <c r="G31" s="294"/>
      <c r="H31" s="296"/>
    </row>
    <row r="32" spans="2:8" ht="15.75" thickBot="1" x14ac:dyDescent="0.3">
      <c r="B32" s="293">
        <v>42892</v>
      </c>
      <c r="C32" s="294">
        <v>2.25</v>
      </c>
      <c r="D32" s="294">
        <v>485</v>
      </c>
      <c r="E32" s="255">
        <v>7</v>
      </c>
      <c r="F32" s="297">
        <f>(D31*C31+D32*C32)/(D31+D32)</f>
        <v>2.1884920634920637</v>
      </c>
      <c r="G32" s="295">
        <v>1260</v>
      </c>
      <c r="H32" s="296">
        <f>ROUND(((G32/$G$38)*F32),17)</f>
        <v>7.7219266311957399E-2</v>
      </c>
    </row>
    <row r="33" spans="2:8" ht="15.75" thickBot="1" x14ac:dyDescent="0.3">
      <c r="B33" s="293">
        <v>42889</v>
      </c>
      <c r="C33" s="294">
        <v>2.1</v>
      </c>
      <c r="D33" s="295">
        <v>3000</v>
      </c>
      <c r="E33" s="255"/>
      <c r="F33" s="297"/>
      <c r="G33" s="294"/>
      <c r="H33" s="296"/>
    </row>
    <row r="34" spans="2:8" ht="15.75" thickBot="1" x14ac:dyDescent="0.3">
      <c r="B34" s="293">
        <v>42889</v>
      </c>
      <c r="C34" s="294">
        <v>2.2000000000000002</v>
      </c>
      <c r="D34" s="295">
        <v>1600</v>
      </c>
      <c r="E34" s="255">
        <v>8</v>
      </c>
      <c r="F34" s="297">
        <f>(D33*C33+D34*C34)/(D33+D34)</f>
        <v>2.1347826086956521</v>
      </c>
      <c r="G34" s="295">
        <v>4600</v>
      </c>
      <c r="H34" s="296">
        <f>ROUND(((G34/$G$38)*F34),17)</f>
        <v>0.274992999159899</v>
      </c>
    </row>
    <row r="35" spans="2:8" ht="15.75" thickBot="1" x14ac:dyDescent="0.3">
      <c r="B35" s="293">
        <v>42888</v>
      </c>
      <c r="C35" s="294">
        <v>2.2000000000000002</v>
      </c>
      <c r="D35" s="295">
        <v>1300</v>
      </c>
      <c r="E35" s="255">
        <v>9</v>
      </c>
      <c r="F35" s="297">
        <f>(D35*C35/D35)</f>
        <v>2.2000000000000002</v>
      </c>
      <c r="G35" s="295">
        <v>1300</v>
      </c>
      <c r="H35" s="296">
        <f>ROUND(((G35/$G$38)*F35),17)</f>
        <v>8.0089610753290394E-2</v>
      </c>
    </row>
    <row r="36" spans="2:8" ht="15.75" thickBot="1" x14ac:dyDescent="0.3">
      <c r="B36" s="293">
        <v>42887</v>
      </c>
      <c r="C36" s="294">
        <v>2.1</v>
      </c>
      <c r="D36" s="295">
        <v>2200</v>
      </c>
      <c r="E36" s="255"/>
      <c r="F36" s="297"/>
      <c r="G36" s="294"/>
      <c r="H36" s="296"/>
    </row>
    <row r="37" spans="2:8" ht="15.75" thickBot="1" x14ac:dyDescent="0.3">
      <c r="B37" s="293">
        <v>42887</v>
      </c>
      <c r="C37" s="294">
        <v>2.25</v>
      </c>
      <c r="D37" s="294">
        <v>300</v>
      </c>
      <c r="E37" s="255">
        <v>10</v>
      </c>
      <c r="F37" s="297">
        <f>(D36*C36+D37*C37)/(D36+D37)</f>
        <v>2.1179999999999999</v>
      </c>
      <c r="G37" s="295">
        <v>2500</v>
      </c>
      <c r="H37" s="296">
        <f>ROUND((G37/$G$38)*F37,17)</f>
        <v>0.1482777933352</v>
      </c>
    </row>
    <row r="38" spans="2:8" ht="30.75" thickBot="1" x14ac:dyDescent="0.3">
      <c r="B38" s="250" t="s">
        <v>45</v>
      </c>
      <c r="C38" s="294"/>
      <c r="D38" s="294"/>
      <c r="E38" s="255"/>
      <c r="F38" s="297"/>
      <c r="G38" s="295">
        <v>35710</v>
      </c>
      <c r="H38" s="296"/>
    </row>
    <row r="39" spans="2:8" ht="45.75" thickBot="1" x14ac:dyDescent="0.3">
      <c r="B39" s="12" t="s">
        <v>39</v>
      </c>
      <c r="C39" s="298"/>
      <c r="D39" s="298"/>
      <c r="E39" s="13"/>
      <c r="F39" s="298"/>
      <c r="G39" s="298"/>
      <c r="H39" s="299">
        <f>ROUND((SUM(H11:H37)),17)</f>
        <v>2.1563782481484002</v>
      </c>
    </row>
    <row r="40" spans="2:8" ht="15.75" thickTop="1" x14ac:dyDescent="0.25"/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F23" sqref="F23"/>
    </sheetView>
  </sheetViews>
  <sheetFormatPr baseColWidth="10" defaultRowHeight="15" x14ac:dyDescent="0.25"/>
  <cols>
    <col min="1" max="1" width="4.7109375" style="199" customWidth="1"/>
    <col min="2" max="2" width="29.85546875" style="199" customWidth="1"/>
    <col min="3" max="3" width="3.5703125" style="199" customWidth="1"/>
    <col min="4" max="4" width="29.7109375" style="199" customWidth="1"/>
    <col min="5" max="16384" width="11.42578125" style="199"/>
  </cols>
  <sheetData>
    <row r="2" spans="2:4" x14ac:dyDescent="0.25">
      <c r="B2" s="5" t="s">
        <v>323</v>
      </c>
    </row>
    <row r="4" spans="2:4" x14ac:dyDescent="0.25">
      <c r="B4" s="199" t="s">
        <v>212</v>
      </c>
    </row>
    <row r="5" spans="2:4" x14ac:dyDescent="0.25">
      <c r="B5" s="199" t="s">
        <v>213</v>
      </c>
      <c r="D5" s="199" t="s">
        <v>214</v>
      </c>
    </row>
    <row r="6" spans="2:4" x14ac:dyDescent="0.25">
      <c r="B6" s="199" t="s">
        <v>205</v>
      </c>
      <c r="D6" s="199" t="s">
        <v>206</v>
      </c>
    </row>
    <row r="7" spans="2:4" x14ac:dyDescent="0.25">
      <c r="B7" s="199" t="s">
        <v>207</v>
      </c>
      <c r="D7" s="199" t="s">
        <v>206</v>
      </c>
    </row>
    <row r="8" spans="2:4" x14ac:dyDescent="0.25">
      <c r="B8" s="199" t="s">
        <v>208</v>
      </c>
      <c r="D8" s="199" t="s">
        <v>209</v>
      </c>
    </row>
    <row r="9" spans="2:4" x14ac:dyDescent="0.25">
      <c r="B9" s="199" t="s">
        <v>210</v>
      </c>
      <c r="D9" s="300">
        <v>0.16</v>
      </c>
    </row>
    <row r="10" spans="2:4" x14ac:dyDescent="0.25">
      <c r="B10" s="199" t="s">
        <v>211</v>
      </c>
      <c r="D10" s="301">
        <v>2.1563782480000002</v>
      </c>
    </row>
    <row r="13" spans="2:4" ht="47.25" x14ac:dyDescent="0.25">
      <c r="B13" s="303" t="s">
        <v>215</v>
      </c>
      <c r="D13" s="302">
        <f>D10-D9</f>
        <v>1.9963782480000003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D13" sqref="D13"/>
    </sheetView>
  </sheetViews>
  <sheetFormatPr baseColWidth="10" defaultRowHeight="15" x14ac:dyDescent="0.25"/>
  <cols>
    <col min="1" max="1" width="6.140625" customWidth="1"/>
    <col min="2" max="2" width="33.140625" customWidth="1"/>
    <col min="3" max="3" width="7.42578125" customWidth="1"/>
    <col min="4" max="4" width="25.28515625" customWidth="1"/>
  </cols>
  <sheetData>
    <row r="2" spans="2:4" x14ac:dyDescent="0.25">
      <c r="B2" s="5" t="s">
        <v>216</v>
      </c>
    </row>
    <row r="4" spans="2:4" ht="15.75" x14ac:dyDescent="0.25">
      <c r="B4" s="29" t="s">
        <v>162</v>
      </c>
    </row>
    <row r="5" spans="2:4" ht="15.75" x14ac:dyDescent="0.25">
      <c r="B5" s="32" t="s">
        <v>213</v>
      </c>
      <c r="D5" s="32" t="s">
        <v>217</v>
      </c>
    </row>
    <row r="6" spans="2:4" ht="15.75" x14ac:dyDescent="0.25">
      <c r="B6" s="29" t="s">
        <v>205</v>
      </c>
      <c r="D6" s="29" t="s">
        <v>206</v>
      </c>
    </row>
    <row r="7" spans="2:4" ht="15.75" x14ac:dyDescent="0.25">
      <c r="B7" s="29" t="s">
        <v>207</v>
      </c>
      <c r="D7" s="29" t="s">
        <v>206</v>
      </c>
    </row>
    <row r="8" spans="2:4" ht="15.75" x14ac:dyDescent="0.25">
      <c r="B8" s="29" t="s">
        <v>218</v>
      </c>
      <c r="D8" s="42">
        <v>2.1563782480000002</v>
      </c>
    </row>
    <row r="9" spans="2:4" ht="15.75" x14ac:dyDescent="0.25">
      <c r="B9" s="29" t="s">
        <v>219</v>
      </c>
      <c r="D9" s="29" t="s">
        <v>220</v>
      </c>
    </row>
    <row r="10" spans="2:4" ht="15.75" x14ac:dyDescent="0.25">
      <c r="B10" s="29" t="s">
        <v>221</v>
      </c>
    </row>
    <row r="13" spans="2:4" ht="31.5" x14ac:dyDescent="0.25">
      <c r="B13" s="41" t="s">
        <v>222</v>
      </c>
      <c r="D13" s="43">
        <f>D8/3</f>
        <v>0.71879274933333337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C12" sqref="C12"/>
    </sheetView>
  </sheetViews>
  <sheetFormatPr baseColWidth="10" defaultRowHeight="15" x14ac:dyDescent="0.25"/>
  <cols>
    <col min="1" max="1" width="4.7109375" customWidth="1"/>
    <col min="2" max="2" width="28.5703125" customWidth="1"/>
    <col min="3" max="3" width="15.85546875" customWidth="1"/>
  </cols>
  <sheetData>
    <row r="2" spans="2:6" x14ac:dyDescent="0.25">
      <c r="B2" s="5" t="s">
        <v>261</v>
      </c>
    </row>
    <row r="4" spans="2:6" ht="15.75" x14ac:dyDescent="0.25">
      <c r="B4" s="46" t="s">
        <v>162</v>
      </c>
      <c r="C4" s="47"/>
      <c r="D4" s="47"/>
    </row>
    <row r="5" spans="2:6" ht="15.75" x14ac:dyDescent="0.25">
      <c r="B5" s="48" t="s">
        <v>213</v>
      </c>
      <c r="C5" s="48" t="s">
        <v>217</v>
      </c>
      <c r="D5" s="47"/>
    </row>
    <row r="6" spans="2:6" ht="15.75" x14ac:dyDescent="0.25">
      <c r="B6" s="46" t="s">
        <v>205</v>
      </c>
      <c r="C6" s="46" t="s">
        <v>206</v>
      </c>
      <c r="D6" s="47"/>
    </row>
    <row r="7" spans="2:6" ht="15.75" x14ac:dyDescent="0.25">
      <c r="B7" s="46" t="s">
        <v>207</v>
      </c>
      <c r="C7" s="46" t="s">
        <v>206</v>
      </c>
      <c r="D7" s="47"/>
    </row>
    <row r="8" spans="2:6" ht="15.75" x14ac:dyDescent="0.25">
      <c r="B8" s="46" t="s">
        <v>218</v>
      </c>
      <c r="C8" s="50">
        <v>2.1563782480000002</v>
      </c>
      <c r="D8" s="47"/>
    </row>
    <row r="9" spans="2:6" ht="15.75" x14ac:dyDescent="0.25">
      <c r="B9" s="46" t="s">
        <v>210</v>
      </c>
      <c r="C9" s="50">
        <v>0.16</v>
      </c>
      <c r="D9" s="47"/>
    </row>
    <row r="10" spans="2:6" ht="15.75" x14ac:dyDescent="0.25">
      <c r="B10" s="46" t="s">
        <v>219</v>
      </c>
      <c r="C10" s="47">
        <v>1</v>
      </c>
      <c r="D10" s="47" t="s">
        <v>259</v>
      </c>
      <c r="F10" s="45"/>
    </row>
    <row r="12" spans="2:6" ht="45" x14ac:dyDescent="0.25">
      <c r="B12" s="49" t="s">
        <v>260</v>
      </c>
      <c r="C12" s="33">
        <f>(C8-C9)/(1+C10)</f>
        <v>0.99818912400000015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G17" sqref="G17"/>
    </sheetView>
  </sheetViews>
  <sheetFormatPr baseColWidth="10" defaultRowHeight="15" x14ac:dyDescent="0.25"/>
  <cols>
    <col min="1" max="1" width="6.42578125" customWidth="1"/>
  </cols>
  <sheetData>
    <row r="2" spans="2:3" x14ac:dyDescent="0.25">
      <c r="B2" s="5" t="s">
        <v>223</v>
      </c>
    </row>
    <row r="4" spans="2:3" x14ac:dyDescent="0.25">
      <c r="B4" t="s">
        <v>224</v>
      </c>
    </row>
    <row r="5" spans="2:3" x14ac:dyDescent="0.25">
      <c r="B5" t="s">
        <v>225</v>
      </c>
    </row>
    <row r="6" spans="2:3" x14ac:dyDescent="0.25">
      <c r="B6" t="s">
        <v>226</v>
      </c>
    </row>
    <row r="7" spans="2:3" x14ac:dyDescent="0.25">
      <c r="B7" t="s">
        <v>227</v>
      </c>
    </row>
    <row r="8" spans="2:3" x14ac:dyDescent="0.25">
      <c r="B8" t="s">
        <v>228</v>
      </c>
    </row>
    <row r="9" spans="2:3" x14ac:dyDescent="0.25">
      <c r="B9" t="s">
        <v>229</v>
      </c>
    </row>
    <row r="10" spans="2:3" x14ac:dyDescent="0.25">
      <c r="B10" t="s">
        <v>230</v>
      </c>
    </row>
    <row r="11" spans="2:3" x14ac:dyDescent="0.25">
      <c r="B11" t="s">
        <v>231</v>
      </c>
    </row>
    <row r="14" spans="2:3" x14ac:dyDescent="0.25">
      <c r="C14">
        <f>(1000000*12+100000*10)/(1000000+100000)</f>
        <v>11.818181818181818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workbookViewId="0">
      <selection activeCell="H34" sqref="H34"/>
    </sheetView>
  </sheetViews>
  <sheetFormatPr baseColWidth="10" defaultRowHeight="15" x14ac:dyDescent="0.25"/>
  <cols>
    <col min="1" max="1" width="6.42578125" customWidth="1"/>
    <col min="2" max="2" width="12.140625" customWidth="1"/>
    <col min="4" max="4" width="12" bestFit="1" customWidth="1"/>
    <col min="5" max="5" width="24.140625" customWidth="1"/>
  </cols>
  <sheetData>
    <row r="2" spans="2:5" x14ac:dyDescent="0.25">
      <c r="B2" s="5" t="s">
        <v>77</v>
      </c>
    </row>
    <row r="3" spans="2:5" x14ac:dyDescent="0.25">
      <c r="B3" s="5"/>
    </row>
    <row r="4" spans="2:5" ht="15.75" x14ac:dyDescent="0.25">
      <c r="B4" s="29" t="s">
        <v>115</v>
      </c>
    </row>
    <row r="5" spans="2:5" ht="15.75" x14ac:dyDescent="0.25">
      <c r="B5" s="32" t="s">
        <v>101</v>
      </c>
      <c r="D5" s="32" t="s">
        <v>232</v>
      </c>
    </row>
    <row r="6" spans="2:5" ht="15.75" x14ac:dyDescent="0.25">
      <c r="B6" s="29" t="s">
        <v>160</v>
      </c>
      <c r="D6" s="29" t="s">
        <v>233</v>
      </c>
    </row>
    <row r="7" spans="2:5" ht="15.75" x14ac:dyDescent="0.25">
      <c r="B7" s="29" t="s">
        <v>234</v>
      </c>
      <c r="D7" s="31">
        <v>8.06</v>
      </c>
      <c r="E7" t="s">
        <v>237</v>
      </c>
    </row>
    <row r="8" spans="2:5" ht="15.75" x14ac:dyDescent="0.25">
      <c r="B8" s="29" t="s">
        <v>235</v>
      </c>
      <c r="D8" s="44">
        <v>7.09</v>
      </c>
    </row>
    <row r="9" spans="2:5" ht="15.75" x14ac:dyDescent="0.25">
      <c r="B9" s="29" t="s">
        <v>236</v>
      </c>
    </row>
    <row r="10" spans="2:5" x14ac:dyDescent="0.25">
      <c r="B10" s="5"/>
    </row>
    <row r="11" spans="2:5" ht="15.75" thickBot="1" x14ac:dyDescent="0.3"/>
    <row r="12" spans="2:5" ht="31.5" thickTop="1" thickBot="1" x14ac:dyDescent="0.3">
      <c r="B12" s="6" t="s">
        <v>51</v>
      </c>
      <c r="C12" s="7" t="s">
        <v>52</v>
      </c>
      <c r="D12" s="7" t="s">
        <v>53</v>
      </c>
      <c r="E12" s="8" t="s">
        <v>46</v>
      </c>
    </row>
    <row r="13" spans="2:5" ht="15.75" thickBot="1" x14ac:dyDescent="0.3">
      <c r="B13" s="9">
        <v>1</v>
      </c>
      <c r="C13" s="10">
        <v>1.4285714285714286</v>
      </c>
      <c r="D13" s="11">
        <v>175</v>
      </c>
      <c r="E13" s="27">
        <f>ROUND(((D13/$D$20)*C13),17)</f>
        <v>0.239923224568138</v>
      </c>
    </row>
    <row r="14" spans="2:5" ht="15.75" thickBot="1" x14ac:dyDescent="0.3">
      <c r="B14" s="9">
        <v>2</v>
      </c>
      <c r="C14" s="10">
        <v>1.1714285714285715</v>
      </c>
      <c r="D14" s="11">
        <v>85</v>
      </c>
      <c r="E14" s="27">
        <f t="shared" ref="E14:E19" si="0">ROUND(((D14/$D$20)*C14),17)</f>
        <v>9.5557992870852801E-2</v>
      </c>
    </row>
    <row r="15" spans="2:5" ht="15.75" thickBot="1" x14ac:dyDescent="0.3">
      <c r="B15" s="9">
        <v>3</v>
      </c>
      <c r="C15" s="10">
        <v>1.2914285714285716</v>
      </c>
      <c r="D15" s="11">
        <v>168</v>
      </c>
      <c r="E15" s="27">
        <f t="shared" si="0"/>
        <v>0.20821497120921301</v>
      </c>
    </row>
    <row r="16" spans="2:5" ht="15.75" thickBot="1" x14ac:dyDescent="0.3">
      <c r="B16" s="9">
        <v>4</v>
      </c>
      <c r="C16" s="10">
        <v>1.1142857142857143</v>
      </c>
      <c r="D16" s="11">
        <v>179</v>
      </c>
      <c r="E16" s="27">
        <f t="shared" si="0"/>
        <v>0.191417603509734</v>
      </c>
    </row>
    <row r="17" spans="2:5" ht="15.75" thickBot="1" x14ac:dyDescent="0.3">
      <c r="B17" s="9">
        <v>5</v>
      </c>
      <c r="C17" s="10">
        <v>1.1314285714285715</v>
      </c>
      <c r="D17" s="11">
        <v>210</v>
      </c>
      <c r="E17" s="27">
        <f t="shared" si="0"/>
        <v>0.228023032629559</v>
      </c>
    </row>
    <row r="18" spans="2:5" ht="15.75" thickBot="1" x14ac:dyDescent="0.3">
      <c r="B18" s="9">
        <v>6</v>
      </c>
      <c r="C18" s="10">
        <v>1.28</v>
      </c>
      <c r="D18" s="11">
        <v>90</v>
      </c>
      <c r="E18" s="27">
        <f t="shared" si="0"/>
        <v>0.110556621880998</v>
      </c>
    </row>
    <row r="19" spans="2:5" ht="15.75" thickBot="1" x14ac:dyDescent="0.3">
      <c r="B19" s="9">
        <v>7</v>
      </c>
      <c r="C19" s="10">
        <v>1.3714285714285714</v>
      </c>
      <c r="D19" s="11">
        <v>135</v>
      </c>
      <c r="E19" s="27">
        <f t="shared" si="0"/>
        <v>0.17768028516588999</v>
      </c>
    </row>
    <row r="20" spans="2:5" ht="30.75" thickBot="1" x14ac:dyDescent="0.3">
      <c r="B20" s="9" t="s">
        <v>53</v>
      </c>
      <c r="C20" s="11"/>
      <c r="D20" s="11">
        <v>1042</v>
      </c>
      <c r="E20" s="27"/>
    </row>
    <row r="21" spans="2:5" ht="45.75" thickBot="1" x14ac:dyDescent="0.3">
      <c r="B21" s="12" t="s">
        <v>54</v>
      </c>
      <c r="C21" s="13"/>
      <c r="D21" s="13"/>
      <c r="E21" s="28">
        <f>SUM(E13:E19)</f>
        <v>1.2513737318343849</v>
      </c>
    </row>
    <row r="22" spans="2:5" ht="15.75" thickTop="1" x14ac:dyDescent="0.25"/>
    <row r="23" spans="2:5" x14ac:dyDescent="0.25">
      <c r="B23" t="s">
        <v>238</v>
      </c>
    </row>
    <row r="25" spans="2:5" x14ac:dyDescent="0.25">
      <c r="E25" s="30">
        <f>D7-D8</f>
        <v>0.97000000000000064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>
      <selection activeCell="B1" sqref="B1"/>
    </sheetView>
  </sheetViews>
  <sheetFormatPr baseColWidth="10" defaultRowHeight="15" x14ac:dyDescent="0.25"/>
  <cols>
    <col min="1" max="1" width="4.85546875" style="199" customWidth="1"/>
    <col min="2" max="2" width="17.42578125" style="199" customWidth="1"/>
    <col min="3" max="3" width="14" style="199" customWidth="1"/>
    <col min="4" max="4" width="26.7109375" style="199" customWidth="1"/>
    <col min="5" max="5" width="19.140625" style="199" customWidth="1"/>
    <col min="6" max="6" width="28.85546875" style="199" customWidth="1"/>
    <col min="7" max="7" width="26.5703125" style="199" customWidth="1"/>
    <col min="8" max="16384" width="11.42578125" style="199"/>
  </cols>
  <sheetData>
    <row r="2" spans="2:7" x14ac:dyDescent="0.25">
      <c r="B2" s="5" t="s">
        <v>69</v>
      </c>
    </row>
    <row r="4" spans="2:7" x14ac:dyDescent="0.25">
      <c r="B4" s="199" t="s">
        <v>115</v>
      </c>
    </row>
    <row r="5" spans="2:7" x14ac:dyDescent="0.25">
      <c r="B5" s="199" t="s">
        <v>101</v>
      </c>
      <c r="D5" s="199" t="s">
        <v>116</v>
      </c>
    </row>
    <row r="6" spans="2:7" x14ac:dyDescent="0.25">
      <c r="B6" s="199" t="s">
        <v>117</v>
      </c>
      <c r="D6" s="199" t="s">
        <v>118</v>
      </c>
    </row>
    <row r="7" spans="2:7" x14ac:dyDescent="0.25">
      <c r="B7" s="199" t="s">
        <v>119</v>
      </c>
      <c r="D7" s="199" t="s">
        <v>120</v>
      </c>
    </row>
    <row r="8" spans="2:7" x14ac:dyDescent="0.25">
      <c r="B8" s="199" t="s">
        <v>121</v>
      </c>
      <c r="D8" s="199" t="s">
        <v>122</v>
      </c>
    </row>
    <row r="9" spans="2:7" x14ac:dyDescent="0.25">
      <c r="B9" s="199" t="s">
        <v>103</v>
      </c>
      <c r="D9" s="199" t="s">
        <v>122</v>
      </c>
    </row>
    <row r="10" spans="2:7" x14ac:dyDescent="0.25">
      <c r="B10" s="199" t="s">
        <v>91</v>
      </c>
      <c r="D10" s="199" t="s">
        <v>123</v>
      </c>
    </row>
    <row r="11" spans="2:7" x14ac:dyDescent="0.25">
      <c r="B11" s="199" t="s">
        <v>107</v>
      </c>
      <c r="D11" s="199" t="s">
        <v>124</v>
      </c>
    </row>
    <row r="12" spans="2:7" x14ac:dyDescent="0.25">
      <c r="B12" s="199" t="s">
        <v>109</v>
      </c>
      <c r="D12" s="199" t="s">
        <v>88</v>
      </c>
    </row>
    <row r="13" spans="2:7" x14ac:dyDescent="0.25">
      <c r="B13" s="199" t="s">
        <v>110</v>
      </c>
      <c r="D13" s="199" t="s">
        <v>125</v>
      </c>
    </row>
    <row r="14" spans="2:7" x14ac:dyDescent="0.25">
      <c r="B14" s="199" t="s">
        <v>112</v>
      </c>
      <c r="D14" s="199" t="s">
        <v>113</v>
      </c>
    </row>
    <row r="16" spans="2:7" x14ac:dyDescent="0.25">
      <c r="B16" s="14" t="s">
        <v>0</v>
      </c>
      <c r="C16" s="14" t="s">
        <v>55</v>
      </c>
      <c r="D16" s="14" t="s">
        <v>47</v>
      </c>
      <c r="E16" s="14" t="s">
        <v>1</v>
      </c>
      <c r="F16" s="14" t="s">
        <v>2</v>
      </c>
      <c r="G16" s="14" t="s">
        <v>3</v>
      </c>
    </row>
    <row r="17" spans="1:7" hidden="1" x14ac:dyDescent="0.25">
      <c r="B17" s="14">
        <v>0</v>
      </c>
      <c r="C17" s="15">
        <v>43059</v>
      </c>
      <c r="D17" s="14">
        <v>0</v>
      </c>
      <c r="E17" s="14">
        <v>0</v>
      </c>
      <c r="F17" s="22">
        <v>-0.9630263</v>
      </c>
      <c r="G17" s="22">
        <v>0</v>
      </c>
    </row>
    <row r="18" spans="1:7" x14ac:dyDescent="0.25">
      <c r="A18" s="203"/>
      <c r="B18" s="16">
        <v>1</v>
      </c>
      <c r="C18" s="17">
        <v>43089</v>
      </c>
      <c r="D18" s="16">
        <f t="shared" ref="D18:D32" si="0">C18-C17</f>
        <v>30</v>
      </c>
      <c r="E18" s="16">
        <f>C18-$C$17</f>
        <v>30</v>
      </c>
      <c r="F18" s="23">
        <f>ROUND($D$38*D18,17)</f>
        <v>4.10958904109589E-3</v>
      </c>
      <c r="G18" s="23">
        <f>ROUND(F18/((1+$D$37)^(E18/365)),17)</f>
        <v>4.0823597001927196E-3</v>
      </c>
    </row>
    <row r="19" spans="1:7" x14ac:dyDescent="0.25">
      <c r="A19" s="203"/>
      <c r="B19" s="16">
        <v>2</v>
      </c>
      <c r="C19" s="17">
        <v>43120</v>
      </c>
      <c r="D19" s="16">
        <f t="shared" si="0"/>
        <v>31</v>
      </c>
      <c r="E19" s="16">
        <f t="shared" ref="E19:E32" si="1">C19-$C$17</f>
        <v>61</v>
      </c>
      <c r="F19" s="23">
        <f t="shared" ref="F19:F31" si="2">ROUND($D$38*D19,17)</f>
        <v>4.24657534246575E-3</v>
      </c>
      <c r="G19" s="23">
        <f t="shared" ref="G19:G32" si="3">ROUND(F19/((1+$D$37)^(E19/365)),17)</f>
        <v>4.18955931260305E-3</v>
      </c>
    </row>
    <row r="20" spans="1:7" x14ac:dyDescent="0.25">
      <c r="A20" s="203"/>
      <c r="B20" s="16">
        <v>3</v>
      </c>
      <c r="C20" s="17">
        <v>43151</v>
      </c>
      <c r="D20" s="16">
        <f t="shared" si="0"/>
        <v>31</v>
      </c>
      <c r="E20" s="16">
        <f t="shared" si="1"/>
        <v>92</v>
      </c>
      <c r="F20" s="23">
        <f t="shared" si="2"/>
        <v>4.24657534246575E-3</v>
      </c>
      <c r="G20" s="23">
        <f t="shared" si="3"/>
        <v>4.1608779716435099E-3</v>
      </c>
    </row>
    <row r="21" spans="1:7" x14ac:dyDescent="0.25">
      <c r="A21" s="203"/>
      <c r="B21" s="16">
        <v>4</v>
      </c>
      <c r="C21" s="17">
        <v>43179</v>
      </c>
      <c r="D21" s="16">
        <f t="shared" si="0"/>
        <v>28</v>
      </c>
      <c r="E21" s="16">
        <f t="shared" si="1"/>
        <v>120</v>
      </c>
      <c r="F21" s="23">
        <f t="shared" si="2"/>
        <v>3.83561643835616E-3</v>
      </c>
      <c r="G21" s="23">
        <f t="shared" si="3"/>
        <v>3.7349661083631702E-3</v>
      </c>
    </row>
    <row r="22" spans="1:7" x14ac:dyDescent="0.25">
      <c r="A22" s="203"/>
      <c r="B22" s="16">
        <v>5</v>
      </c>
      <c r="C22" s="17">
        <v>43210</v>
      </c>
      <c r="D22" s="16">
        <f t="shared" si="0"/>
        <v>31</v>
      </c>
      <c r="E22" s="16">
        <f t="shared" si="1"/>
        <v>151</v>
      </c>
      <c r="F22" s="23">
        <f t="shared" si="2"/>
        <v>4.24657534246575E-3</v>
      </c>
      <c r="G22" s="23">
        <f t="shared" si="3"/>
        <v>4.1068322500580996E-3</v>
      </c>
    </row>
    <row r="23" spans="1:7" x14ac:dyDescent="0.25">
      <c r="A23" s="203"/>
      <c r="B23" s="16">
        <v>6</v>
      </c>
      <c r="C23" s="17">
        <v>43240</v>
      </c>
      <c r="D23" s="16">
        <f t="shared" si="0"/>
        <v>30</v>
      </c>
      <c r="E23" s="16">
        <f t="shared" si="1"/>
        <v>181</v>
      </c>
      <c r="F23" s="23">
        <f t="shared" si="2"/>
        <v>4.10958904109589E-3</v>
      </c>
      <c r="G23" s="23">
        <f t="shared" si="3"/>
        <v>3.9480204920499902E-3</v>
      </c>
    </row>
    <row r="24" spans="1:7" x14ac:dyDescent="0.25">
      <c r="A24" s="203"/>
      <c r="B24" s="16">
        <v>7</v>
      </c>
      <c r="C24" s="17">
        <v>43271</v>
      </c>
      <c r="D24" s="16">
        <f t="shared" si="0"/>
        <v>31</v>
      </c>
      <c r="E24" s="16">
        <f t="shared" si="1"/>
        <v>212</v>
      </c>
      <c r="F24" s="23">
        <f t="shared" si="2"/>
        <v>4.24657534246575E-3</v>
      </c>
      <c r="G24" s="23">
        <f t="shared" si="3"/>
        <v>4.0516924606214602E-3</v>
      </c>
    </row>
    <row r="25" spans="1:7" x14ac:dyDescent="0.25">
      <c r="A25" s="203"/>
      <c r="B25" s="16">
        <v>8</v>
      </c>
      <c r="C25" s="17">
        <v>43301</v>
      </c>
      <c r="D25" s="16">
        <f t="shared" si="0"/>
        <v>30</v>
      </c>
      <c r="E25" s="16">
        <f t="shared" si="1"/>
        <v>242</v>
      </c>
      <c r="F25" s="23">
        <f t="shared" si="2"/>
        <v>4.10958904109589E-3</v>
      </c>
      <c r="G25" s="23">
        <f t="shared" si="3"/>
        <v>3.89501296572113E-3</v>
      </c>
    </row>
    <row r="26" spans="1:7" x14ac:dyDescent="0.25">
      <c r="A26" s="203"/>
      <c r="B26" s="16">
        <v>9</v>
      </c>
      <c r="C26" s="17">
        <v>43332</v>
      </c>
      <c r="D26" s="16">
        <f t="shared" si="0"/>
        <v>31</v>
      </c>
      <c r="E26" s="16">
        <f t="shared" si="1"/>
        <v>273</v>
      </c>
      <c r="F26" s="23">
        <f t="shared" si="2"/>
        <v>4.24657534246575E-3</v>
      </c>
      <c r="G26" s="23">
        <f t="shared" si="3"/>
        <v>3.9972929975955404E-3</v>
      </c>
    </row>
    <row r="27" spans="1:7" x14ac:dyDescent="0.25">
      <c r="A27" s="203"/>
      <c r="B27" s="16">
        <v>10</v>
      </c>
      <c r="C27" s="17">
        <v>43363</v>
      </c>
      <c r="D27" s="16">
        <f t="shared" si="0"/>
        <v>31</v>
      </c>
      <c r="E27" s="16">
        <f t="shared" si="1"/>
        <v>304</v>
      </c>
      <c r="F27" s="23">
        <f t="shared" si="2"/>
        <v>4.24657534246575E-3</v>
      </c>
      <c r="G27" s="23">
        <f t="shared" si="3"/>
        <v>3.9699278942935401E-3</v>
      </c>
    </row>
    <row r="28" spans="1:7" x14ac:dyDescent="0.25">
      <c r="A28" s="203"/>
      <c r="B28" s="16">
        <v>11</v>
      </c>
      <c r="C28" s="17">
        <v>43393</v>
      </c>
      <c r="D28" s="16">
        <f t="shared" si="0"/>
        <v>30</v>
      </c>
      <c r="E28" s="16">
        <f t="shared" si="1"/>
        <v>334</v>
      </c>
      <c r="F28" s="23">
        <f t="shared" si="2"/>
        <v>4.10958904109589E-3</v>
      </c>
      <c r="G28" s="23">
        <f t="shared" si="3"/>
        <v>3.8164102462207999E-3</v>
      </c>
    </row>
    <row r="29" spans="1:7" x14ac:dyDescent="0.25">
      <c r="A29" s="203"/>
      <c r="B29" s="16">
        <v>12</v>
      </c>
      <c r="C29" s="17">
        <v>43424</v>
      </c>
      <c r="D29" s="16">
        <f t="shared" si="0"/>
        <v>31</v>
      </c>
      <c r="E29" s="16">
        <f t="shared" si="1"/>
        <v>365</v>
      </c>
      <c r="F29" s="23">
        <f t="shared" si="2"/>
        <v>4.24657534246575E-3</v>
      </c>
      <c r="G29" s="23">
        <f t="shared" si="3"/>
        <v>3.9166262313958403E-3</v>
      </c>
    </row>
    <row r="30" spans="1:7" x14ac:dyDescent="0.25">
      <c r="A30" s="203"/>
      <c r="B30" s="16">
        <v>13</v>
      </c>
      <c r="C30" s="17">
        <v>43454</v>
      </c>
      <c r="D30" s="16">
        <f t="shared" si="0"/>
        <v>30</v>
      </c>
      <c r="E30" s="16">
        <f t="shared" si="1"/>
        <v>395</v>
      </c>
      <c r="F30" s="23">
        <f t="shared" si="2"/>
        <v>4.10958904109589E-3</v>
      </c>
      <c r="G30" s="23">
        <f t="shared" si="3"/>
        <v>3.7651697658292499E-3</v>
      </c>
    </row>
    <row r="31" spans="1:7" x14ac:dyDescent="0.25">
      <c r="A31" s="203"/>
      <c r="B31" s="16">
        <v>14</v>
      </c>
      <c r="C31" s="17">
        <v>43485</v>
      </c>
      <c r="D31" s="16">
        <f t="shared" si="0"/>
        <v>31</v>
      </c>
      <c r="E31" s="16">
        <f t="shared" si="1"/>
        <v>426</v>
      </c>
      <c r="F31" s="23">
        <f t="shared" si="2"/>
        <v>4.24657534246575E-3</v>
      </c>
      <c r="G31" s="23">
        <f t="shared" si="3"/>
        <v>3.8640402155686402E-3</v>
      </c>
    </row>
    <row r="32" spans="1:7" x14ac:dyDescent="0.25">
      <c r="A32" s="203"/>
      <c r="B32" s="16" t="s">
        <v>4</v>
      </c>
      <c r="C32" s="17">
        <v>43516</v>
      </c>
      <c r="D32" s="16">
        <f t="shared" si="0"/>
        <v>31</v>
      </c>
      <c r="E32" s="16">
        <f t="shared" si="1"/>
        <v>457</v>
      </c>
      <c r="F32" s="23">
        <f>ROUND((($D$38*D32)+1),17)</f>
        <v>1.0042465753424701</v>
      </c>
      <c r="G32" s="23">
        <f t="shared" si="3"/>
        <v>0.90752751138784304</v>
      </c>
    </row>
    <row r="33" spans="2:7" ht="31.5" customHeight="1" x14ac:dyDescent="0.25">
      <c r="B33" s="14" t="s">
        <v>5</v>
      </c>
      <c r="C33" s="14"/>
      <c r="D33" s="16"/>
      <c r="E33" s="16"/>
      <c r="F33" s="23"/>
      <c r="G33" s="24">
        <v>0.9630263</v>
      </c>
    </row>
    <row r="34" spans="2:7" ht="15.75" x14ac:dyDescent="0.25">
      <c r="B34" s="1"/>
      <c r="C34" s="1"/>
      <c r="G34" s="211"/>
    </row>
    <row r="35" spans="2:7" x14ac:dyDescent="0.25">
      <c r="G35" s="204">
        <f>SUM(G18:G32)</f>
        <v>0.96302629999999978</v>
      </c>
    </row>
    <row r="36" spans="2:7" x14ac:dyDescent="0.25">
      <c r="B36" s="199" t="s">
        <v>6</v>
      </c>
      <c r="C36" s="205"/>
      <c r="D36" s="205">
        <v>0.05</v>
      </c>
      <c r="E36" s="205"/>
      <c r="G36" s="204">
        <f>G33-G35</f>
        <v>0</v>
      </c>
    </row>
    <row r="37" spans="2:7" x14ac:dyDescent="0.25">
      <c r="B37" s="199" t="s">
        <v>7</v>
      </c>
      <c r="C37" s="205"/>
      <c r="D37" s="206">
        <v>8.4243195948856903E-2</v>
      </c>
      <c r="E37" s="207"/>
      <c r="G37" s="208"/>
    </row>
    <row r="38" spans="2:7" x14ac:dyDescent="0.25">
      <c r="D38" s="199">
        <f>(D36/365)</f>
        <v>1.3698630136986303E-4</v>
      </c>
    </row>
    <row r="39" spans="2:7" x14ac:dyDescent="0.25">
      <c r="D39" s="209"/>
      <c r="E39" s="209"/>
    </row>
    <row r="41" spans="2:7" x14ac:dyDescent="0.25">
      <c r="D41" s="210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C17" sqref="C17"/>
    </sheetView>
  </sheetViews>
  <sheetFormatPr baseColWidth="10" defaultRowHeight="15" x14ac:dyDescent="0.25"/>
  <cols>
    <col min="1" max="1" width="7.5703125" customWidth="1"/>
    <col min="2" max="2" width="32.85546875" customWidth="1"/>
    <col min="3" max="3" width="17" customWidth="1"/>
  </cols>
  <sheetData>
    <row r="2" spans="2:4" x14ac:dyDescent="0.25">
      <c r="B2" s="5" t="s">
        <v>239</v>
      </c>
    </row>
    <row r="4" spans="2:4" ht="15.75" x14ac:dyDescent="0.25">
      <c r="B4" s="29" t="s">
        <v>115</v>
      </c>
    </row>
    <row r="5" spans="2:4" ht="15.75" x14ac:dyDescent="0.25">
      <c r="B5" s="32" t="s">
        <v>101</v>
      </c>
      <c r="C5" s="32" t="s">
        <v>232</v>
      </c>
    </row>
    <row r="6" spans="2:4" ht="15.75" x14ac:dyDescent="0.25">
      <c r="B6" s="29" t="s">
        <v>160</v>
      </c>
      <c r="C6" s="29" t="s">
        <v>233</v>
      </c>
    </row>
    <row r="7" spans="2:4" ht="15.75" x14ac:dyDescent="0.25">
      <c r="B7" s="29" t="s">
        <v>240</v>
      </c>
      <c r="C7" s="31">
        <v>10</v>
      </c>
      <c r="D7" t="s">
        <v>246</v>
      </c>
    </row>
    <row r="8" spans="2:4" ht="15.75" x14ac:dyDescent="0.25">
      <c r="B8" s="29" t="s">
        <v>241</v>
      </c>
      <c r="C8" s="31">
        <v>9.5</v>
      </c>
      <c r="D8" t="s">
        <v>244</v>
      </c>
    </row>
    <row r="9" spans="2:4" ht="15.75" x14ac:dyDescent="0.25">
      <c r="B9" s="29" t="s">
        <v>242</v>
      </c>
      <c r="C9" s="31">
        <v>9</v>
      </c>
    </row>
    <row r="10" spans="2:4" ht="15.75" x14ac:dyDescent="0.25">
      <c r="B10" s="29" t="s">
        <v>243</v>
      </c>
      <c r="C10" s="29">
        <v>2</v>
      </c>
      <c r="D10" t="s">
        <v>245</v>
      </c>
    </row>
    <row r="12" spans="2:4" ht="34.5" customHeight="1" x14ac:dyDescent="0.25">
      <c r="C12" s="34">
        <f>(C7-C9)/(1+C10)</f>
        <v>0.33333333333333331</v>
      </c>
    </row>
    <row r="14" spans="2:4" x14ac:dyDescent="0.25">
      <c r="B14" t="s">
        <v>247</v>
      </c>
    </row>
    <row r="16" spans="2:4" x14ac:dyDescent="0.25">
      <c r="C16" s="30">
        <f>C8-C9</f>
        <v>0.5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workbookViewId="0">
      <selection activeCell="G29" sqref="G29"/>
    </sheetView>
  </sheetViews>
  <sheetFormatPr baseColWidth="10" defaultRowHeight="15" x14ac:dyDescent="0.25"/>
  <cols>
    <col min="2" max="2" width="31" customWidth="1"/>
    <col min="3" max="3" width="15.5703125" customWidth="1"/>
  </cols>
  <sheetData>
    <row r="2" spans="2:3" x14ac:dyDescent="0.25">
      <c r="B2" s="5" t="s">
        <v>326</v>
      </c>
    </row>
    <row r="4" spans="2:3" x14ac:dyDescent="0.25">
      <c r="B4" t="s">
        <v>162</v>
      </c>
    </row>
    <row r="5" spans="2:3" x14ac:dyDescent="0.25">
      <c r="B5" t="s">
        <v>143</v>
      </c>
      <c r="C5" t="s">
        <v>327</v>
      </c>
    </row>
    <row r="6" spans="2:3" x14ac:dyDescent="0.25">
      <c r="B6" t="s">
        <v>328</v>
      </c>
      <c r="C6" s="304">
        <v>50000</v>
      </c>
    </row>
    <row r="7" spans="2:3" x14ac:dyDescent="0.25">
      <c r="B7" t="s">
        <v>329</v>
      </c>
      <c r="C7" s="4">
        <v>43660</v>
      </c>
    </row>
    <row r="8" spans="2:3" x14ac:dyDescent="0.25">
      <c r="B8" t="s">
        <v>330</v>
      </c>
      <c r="C8" s="35">
        <v>114.59</v>
      </c>
    </row>
    <row r="9" spans="2:3" x14ac:dyDescent="0.25">
      <c r="C9" s="35"/>
    </row>
    <row r="10" spans="2:3" x14ac:dyDescent="0.25">
      <c r="B10" t="s">
        <v>331</v>
      </c>
      <c r="C10" s="35">
        <f>C6*C8</f>
        <v>5729500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B2" sqref="B2"/>
    </sheetView>
  </sheetViews>
  <sheetFormatPr baseColWidth="10" defaultRowHeight="15" x14ac:dyDescent="0.25"/>
  <cols>
    <col min="1" max="1" width="7.42578125" customWidth="1"/>
    <col min="2" max="2" width="29.85546875" customWidth="1"/>
    <col min="3" max="3" width="8.28515625" customWidth="1"/>
    <col min="4" max="4" width="15.28515625" customWidth="1"/>
  </cols>
  <sheetData>
    <row r="2" spans="2:4" x14ac:dyDescent="0.25">
      <c r="B2" s="5" t="s">
        <v>248</v>
      </c>
    </row>
    <row r="4" spans="2:4" x14ac:dyDescent="0.25">
      <c r="B4" t="s">
        <v>115</v>
      </c>
    </row>
    <row r="5" spans="2:4" x14ac:dyDescent="0.25">
      <c r="B5" t="s">
        <v>249</v>
      </c>
      <c r="D5" s="30">
        <v>2000000</v>
      </c>
    </row>
    <row r="6" spans="2:4" x14ac:dyDescent="0.25">
      <c r="B6" t="s">
        <v>250</v>
      </c>
      <c r="D6" s="36">
        <v>1.0800000000000001E-2</v>
      </c>
    </row>
    <row r="7" spans="2:4" x14ac:dyDescent="0.25">
      <c r="B7" t="s">
        <v>251</v>
      </c>
      <c r="D7" s="4">
        <v>42789</v>
      </c>
    </row>
    <row r="8" spans="2:4" x14ac:dyDescent="0.25">
      <c r="B8" t="s">
        <v>252</v>
      </c>
      <c r="D8" s="3">
        <v>1</v>
      </c>
    </row>
    <row r="9" spans="2:4" x14ac:dyDescent="0.25">
      <c r="B9" t="s">
        <v>253</v>
      </c>
      <c r="D9">
        <v>365</v>
      </c>
    </row>
    <row r="10" spans="2:4" x14ac:dyDescent="0.25">
      <c r="B10" t="s">
        <v>254</v>
      </c>
      <c r="D10">
        <v>7</v>
      </c>
    </row>
    <row r="11" spans="2:4" x14ac:dyDescent="0.25">
      <c r="B11" t="s">
        <v>255</v>
      </c>
      <c r="D11" s="4">
        <v>42790</v>
      </c>
    </row>
    <row r="12" spans="2:4" x14ac:dyDescent="0.25">
      <c r="B12" t="s">
        <v>256</v>
      </c>
      <c r="D12" s="30">
        <v>2000000</v>
      </c>
    </row>
    <row r="15" spans="2:4" x14ac:dyDescent="0.25">
      <c r="B15" t="s">
        <v>257</v>
      </c>
      <c r="D15" s="30">
        <f>D12+D12*D10*D6/D9</f>
        <v>2000414.2465753425</v>
      </c>
    </row>
    <row r="17" spans="2:4" x14ac:dyDescent="0.25">
      <c r="D17" s="35">
        <f>D12+((D15-D12)/7)*1</f>
        <v>2000059.1780821919</v>
      </c>
    </row>
    <row r="19" spans="2:4" x14ac:dyDescent="0.25">
      <c r="B19" t="s">
        <v>258</v>
      </c>
      <c r="D19" s="35">
        <f>(D15-D12)/7</f>
        <v>59.178082191784469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5"/>
  <sheetViews>
    <sheetView showGridLines="0" zoomScale="120" zoomScaleNormal="120" workbookViewId="0">
      <pane ySplit="4" topLeftCell="A5" activePane="bottomLeft" state="frozen"/>
      <selection pane="bottomLeft" activeCell="E7" sqref="E7"/>
    </sheetView>
  </sheetViews>
  <sheetFormatPr baseColWidth="10" defaultColWidth="10.28515625" defaultRowHeight="11.25" x14ac:dyDescent="0.2"/>
  <cols>
    <col min="1" max="1" width="3.140625" style="112" customWidth="1"/>
    <col min="2" max="2" width="9" style="112" bestFit="1" customWidth="1"/>
    <col min="3" max="3" width="9" style="112" hidden="1" customWidth="1"/>
    <col min="4" max="4" width="11.5703125" style="112" bestFit="1" customWidth="1"/>
    <col min="5" max="5" width="17" style="112" bestFit="1" customWidth="1"/>
    <col min="6" max="6" width="18.85546875" style="113" bestFit="1" customWidth="1"/>
    <col min="7" max="7" width="16.85546875" style="113" customWidth="1"/>
    <col min="8" max="8" width="20.85546875" style="115" customWidth="1"/>
    <col min="9" max="9" width="24.28515625" style="115" customWidth="1"/>
    <col min="10" max="10" width="18.140625" style="117" bestFit="1" customWidth="1"/>
    <col min="11" max="11" width="18.7109375" style="117" bestFit="1" customWidth="1"/>
    <col min="12" max="12" width="18.140625" style="163" bestFit="1" customWidth="1"/>
    <col min="13" max="13" width="17.5703125" style="117" customWidth="1"/>
    <col min="14" max="15" width="17.85546875" style="117" bestFit="1" customWidth="1"/>
    <col min="16" max="16" width="3.7109375" style="117" customWidth="1"/>
    <col min="17" max="17" width="10.28515625" style="117"/>
    <col min="18" max="18" width="20.28515625" style="117" customWidth="1"/>
    <col min="19" max="19" width="19.140625" style="117" bestFit="1" customWidth="1"/>
    <col min="20" max="20" width="19.5703125" style="117" bestFit="1" customWidth="1"/>
    <col min="21" max="21" width="10.28515625" style="117"/>
    <col min="22" max="23" width="10.28515625" style="116"/>
    <col min="24" max="24" width="18.7109375" style="116" bestFit="1" customWidth="1"/>
    <col min="25" max="44" width="10.28515625" style="116"/>
    <col min="45" max="16384" width="10.28515625" style="117"/>
  </cols>
  <sheetData>
    <row r="1" spans="2:44" s="112" customFormat="1" x14ac:dyDescent="0.2">
      <c r="E1" s="97" t="s">
        <v>307</v>
      </c>
      <c r="F1" s="71">
        <v>17</v>
      </c>
      <c r="G1" s="113"/>
      <c r="H1" s="114"/>
      <c r="I1" s="115"/>
      <c r="L1" s="113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</row>
    <row r="2" spans="2:44" s="112" customFormat="1" x14ac:dyDescent="0.2">
      <c r="F2" s="113"/>
      <c r="G2" s="113"/>
      <c r="H2" s="115"/>
      <c r="I2" s="115"/>
      <c r="L2" s="113"/>
      <c r="Q2" s="330" t="s">
        <v>265</v>
      </c>
      <c r="R2" s="330"/>
      <c r="S2" s="330"/>
      <c r="T2" s="330"/>
      <c r="U2" s="330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</row>
    <row r="3" spans="2:44" s="112" customFormat="1" ht="11.25" customHeight="1" x14ac:dyDescent="0.2">
      <c r="F3" s="113"/>
      <c r="G3" s="113"/>
      <c r="H3" s="115"/>
      <c r="I3" s="115"/>
      <c r="L3" s="113"/>
      <c r="Q3" s="330"/>
      <c r="R3" s="330"/>
      <c r="S3" s="330"/>
      <c r="T3" s="330"/>
      <c r="U3" s="330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</row>
    <row r="4" spans="2:44" s="112" customFormat="1" ht="45" x14ac:dyDescent="0.2">
      <c r="B4" s="51" t="s">
        <v>55</v>
      </c>
      <c r="C4" s="51" t="s">
        <v>266</v>
      </c>
      <c r="D4" s="51" t="s">
        <v>267</v>
      </c>
      <c r="E4" s="52" t="s">
        <v>268</v>
      </c>
      <c r="F4" s="52" t="s">
        <v>269</v>
      </c>
      <c r="G4" s="53" t="s">
        <v>270</v>
      </c>
      <c r="H4" s="54" t="s">
        <v>271</v>
      </c>
      <c r="I4" s="54" t="s">
        <v>272</v>
      </c>
      <c r="J4" s="53" t="s">
        <v>273</v>
      </c>
      <c r="K4" s="53" t="s">
        <v>274</v>
      </c>
      <c r="L4" s="53" t="s">
        <v>275</v>
      </c>
      <c r="M4" s="53" t="s">
        <v>276</v>
      </c>
      <c r="N4" s="53" t="s">
        <v>277</v>
      </c>
      <c r="O4" s="53" t="s">
        <v>278</v>
      </c>
      <c r="P4" s="117"/>
      <c r="Q4" s="55" t="s">
        <v>279</v>
      </c>
      <c r="R4" s="55" t="s">
        <v>280</v>
      </c>
      <c r="S4" s="53" t="s">
        <v>281</v>
      </c>
      <c r="T4" s="53" t="s">
        <v>279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</row>
    <row r="5" spans="2:44" s="112" customFormat="1" x14ac:dyDescent="0.2">
      <c r="B5" s="118">
        <v>43153</v>
      </c>
      <c r="C5" s="119">
        <f t="shared" ref="C5:C68" si="0">WEEKDAY(B5,2)</f>
        <v>4</v>
      </c>
      <c r="D5" s="119" t="str">
        <f t="shared" ref="D5:D68" si="1">VLOOKUP(C5,$Y$5:$Z$11,2,0)</f>
        <v>JUEVES</v>
      </c>
      <c r="E5" s="105">
        <v>1.0000274499999999</v>
      </c>
      <c r="F5" s="105">
        <v>504.91</v>
      </c>
      <c r="G5" s="104">
        <f t="shared" ref="G5:G68" si="2">ROUND((F5/365)/(1+(H5/4)),$F$1)</f>
        <v>1.36312735239733</v>
      </c>
      <c r="H5" s="120">
        <v>5.9239413134280001E-2</v>
      </c>
      <c r="I5" s="121"/>
      <c r="J5" s="97"/>
      <c r="K5" s="97"/>
      <c r="L5" s="71"/>
      <c r="M5" s="97"/>
      <c r="N5" s="97"/>
      <c r="O5" s="97"/>
      <c r="P5" s="117"/>
      <c r="Q5" s="71">
        <v>1</v>
      </c>
      <c r="R5" s="122">
        <v>-8.9607267913040495E-2</v>
      </c>
      <c r="S5" s="123" t="s">
        <v>282</v>
      </c>
      <c r="T5" s="97">
        <f>PERCENTILE(Q5:Q245,0.1)</f>
        <v>25</v>
      </c>
      <c r="U5" s="117"/>
      <c r="V5" s="116"/>
      <c r="W5" s="98"/>
      <c r="X5" s="124"/>
      <c r="Y5" s="99">
        <v>1</v>
      </c>
      <c r="Z5" s="99" t="s">
        <v>283</v>
      </c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</row>
    <row r="6" spans="2:44" s="112" customFormat="1" x14ac:dyDescent="0.2">
      <c r="B6" s="118">
        <v>43154</v>
      </c>
      <c r="C6" s="119">
        <f t="shared" si="0"/>
        <v>5</v>
      </c>
      <c r="D6" s="119" t="str">
        <f t="shared" si="1"/>
        <v>VIERNES</v>
      </c>
      <c r="E6" s="105">
        <v>1.0000267899999999</v>
      </c>
      <c r="F6" s="105">
        <v>503.91</v>
      </c>
      <c r="G6" s="104">
        <f t="shared" si="2"/>
        <v>1.3604276091710099</v>
      </c>
      <c r="H6" s="125">
        <v>5.9239413134280001E-2</v>
      </c>
      <c r="I6" s="126">
        <f t="shared" ref="I6:I69" si="3">ROUND(LN(H6/H5),$F$1)</f>
        <v>0</v>
      </c>
      <c r="J6" s="97"/>
      <c r="K6" s="97"/>
      <c r="L6" s="71"/>
      <c r="M6" s="97"/>
      <c r="N6" s="97"/>
      <c r="O6" s="97"/>
      <c r="P6" s="117"/>
      <c r="Q6" s="71">
        <f t="shared" ref="Q6:Q69" si="4">Q5+1</f>
        <v>2</v>
      </c>
      <c r="R6" s="122">
        <v>-8.2228772301928196E-2</v>
      </c>
      <c r="S6" s="123" t="s">
        <v>285</v>
      </c>
      <c r="T6" s="97">
        <f>PERCENTILE(Q5:Q245,0.9)</f>
        <v>217</v>
      </c>
      <c r="U6" s="117"/>
      <c r="V6" s="116"/>
      <c r="W6" s="116"/>
      <c r="X6" s="124"/>
      <c r="Y6" s="99">
        <v>2</v>
      </c>
      <c r="Z6" s="99" t="s">
        <v>286</v>
      </c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</row>
    <row r="7" spans="2:44" s="112" customFormat="1" x14ac:dyDescent="0.2">
      <c r="B7" s="118">
        <v>43157</v>
      </c>
      <c r="C7" s="119">
        <f t="shared" si="0"/>
        <v>1</v>
      </c>
      <c r="D7" s="119" t="str">
        <f t="shared" si="1"/>
        <v>LUNES</v>
      </c>
      <c r="E7" s="105">
        <v>1.00002495</v>
      </c>
      <c r="F7" s="105">
        <v>500.91</v>
      </c>
      <c r="G7" s="104">
        <f t="shared" si="2"/>
        <v>1.35232837949208</v>
      </c>
      <c r="H7" s="125">
        <v>5.9239413134280001E-2</v>
      </c>
      <c r="I7" s="126">
        <f t="shared" si="3"/>
        <v>0</v>
      </c>
      <c r="J7" s="97"/>
      <c r="K7" s="97"/>
      <c r="L7" s="71"/>
      <c r="M7" s="97"/>
      <c r="N7" s="97"/>
      <c r="O7" s="97"/>
      <c r="P7" s="117"/>
      <c r="Q7" s="71">
        <f t="shared" si="4"/>
        <v>3</v>
      </c>
      <c r="R7" s="122">
        <v>-5.4064547828891099E-2</v>
      </c>
      <c r="S7" s="123" t="s">
        <v>288</v>
      </c>
      <c r="T7" s="122">
        <f>ROUND(AVERAGE(R5:R29),$F$1)</f>
        <v>-1.34524360329632E-2</v>
      </c>
      <c r="U7" s="117"/>
      <c r="V7" s="116"/>
      <c r="W7" s="116"/>
      <c r="X7" s="124"/>
      <c r="Y7" s="99">
        <v>3</v>
      </c>
      <c r="Z7" s="99" t="s">
        <v>289</v>
      </c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</row>
    <row r="8" spans="2:44" s="112" customFormat="1" x14ac:dyDescent="0.2">
      <c r="B8" s="118">
        <v>43158</v>
      </c>
      <c r="C8" s="119">
        <f t="shared" si="0"/>
        <v>2</v>
      </c>
      <c r="D8" s="119" t="str">
        <f t="shared" si="1"/>
        <v>MARTES</v>
      </c>
      <c r="E8" s="105">
        <v>1.0000243900000001</v>
      </c>
      <c r="F8" s="105">
        <v>499.91</v>
      </c>
      <c r="G8" s="104">
        <f t="shared" si="2"/>
        <v>1.3496286362657599</v>
      </c>
      <c r="H8" s="125">
        <v>5.9239413134280001E-2</v>
      </c>
      <c r="I8" s="126">
        <f t="shared" si="3"/>
        <v>0</v>
      </c>
      <c r="J8" s="97"/>
      <c r="K8" s="97"/>
      <c r="L8" s="71"/>
      <c r="M8" s="97"/>
      <c r="N8" s="97"/>
      <c r="O8" s="97"/>
      <c r="P8" s="117"/>
      <c r="Q8" s="71">
        <f t="shared" si="4"/>
        <v>4</v>
      </c>
      <c r="R8" s="122">
        <v>-5.4012647512835799E-2</v>
      </c>
      <c r="S8" s="123" t="s">
        <v>290</v>
      </c>
      <c r="T8" s="122">
        <f>ROUND(AVERAGE(R221:R245),$F$1)</f>
        <v>6.5787867174866496E-3</v>
      </c>
      <c r="U8" s="117"/>
      <c r="V8" s="116"/>
      <c r="W8" s="116"/>
      <c r="X8" s="124"/>
      <c r="Y8" s="99">
        <v>4</v>
      </c>
      <c r="Z8" s="99" t="s">
        <v>291</v>
      </c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</row>
    <row r="9" spans="2:44" s="112" customFormat="1" x14ac:dyDescent="0.2">
      <c r="B9" s="118">
        <v>43159</v>
      </c>
      <c r="C9" s="119">
        <f t="shared" si="0"/>
        <v>3</v>
      </c>
      <c r="D9" s="119" t="str">
        <f t="shared" si="1"/>
        <v>MIERCOLES</v>
      </c>
      <c r="E9" s="105">
        <v>1.00002385</v>
      </c>
      <c r="F9" s="105">
        <v>498.91</v>
      </c>
      <c r="G9" s="104">
        <f t="shared" si="2"/>
        <v>1.3469288930394501</v>
      </c>
      <c r="H9" s="125">
        <v>5.9239413134280001E-2</v>
      </c>
      <c r="I9" s="126">
        <f t="shared" si="3"/>
        <v>0</v>
      </c>
      <c r="J9" s="97"/>
      <c r="K9" s="97"/>
      <c r="L9" s="71"/>
      <c r="M9" s="97"/>
      <c r="N9" s="97"/>
      <c r="O9" s="97"/>
      <c r="P9" s="117"/>
      <c r="Q9" s="71">
        <f t="shared" si="4"/>
        <v>5</v>
      </c>
      <c r="R9" s="122">
        <v>-2.8169418254885802E-2</v>
      </c>
      <c r="V9" s="116"/>
      <c r="W9" s="116"/>
      <c r="X9" s="124"/>
      <c r="Y9" s="99">
        <v>5</v>
      </c>
      <c r="Z9" s="99" t="s">
        <v>292</v>
      </c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</row>
    <row r="10" spans="2:44" s="112" customFormat="1" x14ac:dyDescent="0.2">
      <c r="B10" s="118">
        <v>43160</v>
      </c>
      <c r="C10" s="119">
        <f t="shared" si="0"/>
        <v>4</v>
      </c>
      <c r="D10" s="119" t="str">
        <f t="shared" si="1"/>
        <v>JUEVES</v>
      </c>
      <c r="E10" s="105">
        <v>1.0000236600000001</v>
      </c>
      <c r="F10" s="105">
        <v>497.91</v>
      </c>
      <c r="G10" s="104">
        <f t="shared" si="2"/>
        <v>1.3442292313548401</v>
      </c>
      <c r="H10" s="125">
        <v>5.9239166898529996E-2</v>
      </c>
      <c r="I10" s="126">
        <f t="shared" si="3"/>
        <v>-4.1566289862400001E-6</v>
      </c>
      <c r="J10" s="97"/>
      <c r="K10" s="97"/>
      <c r="L10" s="71"/>
      <c r="M10" s="97"/>
      <c r="N10" s="97"/>
      <c r="O10" s="97"/>
      <c r="P10" s="117"/>
      <c r="Q10" s="71">
        <f t="shared" si="4"/>
        <v>6</v>
      </c>
      <c r="R10" s="122">
        <v>-2.8169418254885802E-2</v>
      </c>
      <c r="V10" s="116"/>
      <c r="W10" s="116"/>
      <c r="X10" s="124"/>
      <c r="Y10" s="99">
        <v>6</v>
      </c>
      <c r="Z10" s="99" t="s">
        <v>284</v>
      </c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</row>
    <row r="11" spans="2:44" s="112" customFormat="1" x14ac:dyDescent="0.2">
      <c r="B11" s="118">
        <v>43161</v>
      </c>
      <c r="C11" s="119">
        <f t="shared" si="0"/>
        <v>5</v>
      </c>
      <c r="D11" s="119" t="str">
        <f t="shared" si="1"/>
        <v>VIERNES</v>
      </c>
      <c r="E11" s="105">
        <v>1.0000231799999999</v>
      </c>
      <c r="F11" s="105">
        <v>496.91</v>
      </c>
      <c r="G11" s="104">
        <f t="shared" si="2"/>
        <v>1.3415294879647599</v>
      </c>
      <c r="H11" s="125">
        <v>5.9239166898529996E-2</v>
      </c>
      <c r="I11" s="126">
        <f t="shared" si="3"/>
        <v>0</v>
      </c>
      <c r="J11" s="97"/>
      <c r="K11" s="97"/>
      <c r="L11" s="71"/>
      <c r="M11" s="97"/>
      <c r="N11" s="97"/>
      <c r="O11" s="97"/>
      <c r="P11" s="117"/>
      <c r="Q11" s="71">
        <f t="shared" si="4"/>
        <v>7</v>
      </c>
      <c r="R11" s="122">
        <v>-4.736165875365E-5</v>
      </c>
      <c r="V11" s="116"/>
      <c r="W11" s="116"/>
      <c r="X11" s="124"/>
      <c r="Y11" s="99">
        <v>7</v>
      </c>
      <c r="Z11" s="99" t="s">
        <v>287</v>
      </c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2:44" s="112" customFormat="1" x14ac:dyDescent="0.2">
      <c r="B12" s="118">
        <v>43164</v>
      </c>
      <c r="C12" s="119">
        <f t="shared" si="0"/>
        <v>1</v>
      </c>
      <c r="D12" s="119" t="str">
        <f t="shared" si="1"/>
        <v>LUNES</v>
      </c>
      <c r="E12" s="105">
        <v>1.0000218599999999</v>
      </c>
      <c r="F12" s="105">
        <v>493.91</v>
      </c>
      <c r="G12" s="104">
        <f t="shared" si="2"/>
        <v>1.3334302577945201</v>
      </c>
      <c r="H12" s="125">
        <v>5.9239166898529996E-2</v>
      </c>
      <c r="I12" s="126">
        <f t="shared" si="3"/>
        <v>0</v>
      </c>
      <c r="J12" s="97"/>
      <c r="K12" s="97"/>
      <c r="L12" s="71"/>
      <c r="M12" s="97"/>
      <c r="N12" s="97"/>
      <c r="O12" s="97"/>
      <c r="P12" s="117"/>
      <c r="Q12" s="71">
        <f t="shared" si="4"/>
        <v>8</v>
      </c>
      <c r="R12" s="122">
        <v>-4.5375473986000004E-6</v>
      </c>
      <c r="V12" s="116"/>
      <c r="W12" s="116"/>
      <c r="X12" s="124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:44" s="112" customFormat="1" x14ac:dyDescent="0.2">
      <c r="B13" s="118">
        <v>43165</v>
      </c>
      <c r="C13" s="119">
        <f t="shared" si="0"/>
        <v>2</v>
      </c>
      <c r="D13" s="119" t="str">
        <f t="shared" si="1"/>
        <v>MARTES</v>
      </c>
      <c r="E13" s="105">
        <v>1.0000214700000001</v>
      </c>
      <c r="F13" s="105">
        <v>492.91</v>
      </c>
      <c r="G13" s="104">
        <f t="shared" si="2"/>
        <v>1.3307305144044399</v>
      </c>
      <c r="H13" s="125">
        <v>5.9239166898529996E-2</v>
      </c>
      <c r="I13" s="126">
        <f t="shared" si="3"/>
        <v>0</v>
      </c>
      <c r="J13" s="97"/>
      <c r="K13" s="97"/>
      <c r="L13" s="71"/>
      <c r="M13" s="97"/>
      <c r="N13" s="97"/>
      <c r="O13" s="97"/>
      <c r="P13" s="117"/>
      <c r="Q13" s="71">
        <f t="shared" si="4"/>
        <v>9</v>
      </c>
      <c r="R13" s="122">
        <v>-4.1566289862400001E-6</v>
      </c>
      <c r="V13" s="116"/>
      <c r="W13" s="116"/>
      <c r="X13" s="124"/>
      <c r="Y13" s="99">
        <v>5</v>
      </c>
      <c r="Z13" s="99" t="s">
        <v>292</v>
      </c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spans="2:44" s="112" customFormat="1" x14ac:dyDescent="0.2">
      <c r="B14" s="118">
        <v>43166</v>
      </c>
      <c r="C14" s="119">
        <f t="shared" si="0"/>
        <v>3</v>
      </c>
      <c r="D14" s="119" t="str">
        <f t="shared" si="1"/>
        <v>MIERCOLES</v>
      </c>
      <c r="E14" s="105">
        <v>1.00002111</v>
      </c>
      <c r="F14" s="105">
        <v>491.91</v>
      </c>
      <c r="G14" s="104">
        <f t="shared" si="2"/>
        <v>1.32803077101436</v>
      </c>
      <c r="H14" s="125">
        <v>5.9239166898529996E-2</v>
      </c>
      <c r="I14" s="126">
        <f t="shared" si="3"/>
        <v>0</v>
      </c>
      <c r="J14" s="97"/>
      <c r="K14" s="97"/>
      <c r="L14" s="71"/>
      <c r="M14" s="97"/>
      <c r="N14" s="97"/>
      <c r="O14" s="97"/>
      <c r="P14" s="117"/>
      <c r="Q14" s="71">
        <f t="shared" si="4"/>
        <v>10</v>
      </c>
      <c r="R14" s="122">
        <v>-1.73576961247E-6</v>
      </c>
      <c r="V14" s="116"/>
      <c r="W14" s="116"/>
      <c r="X14" s="124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</row>
    <row r="15" spans="2:44" s="112" customFormat="1" x14ac:dyDescent="0.2">
      <c r="B15" s="118">
        <v>43167</v>
      </c>
      <c r="C15" s="119">
        <f t="shared" si="0"/>
        <v>4</v>
      </c>
      <c r="D15" s="119" t="str">
        <f t="shared" si="1"/>
        <v>JUEVES</v>
      </c>
      <c r="E15" s="105">
        <v>1.0000207699999999</v>
      </c>
      <c r="F15" s="105">
        <v>490.91</v>
      </c>
      <c r="G15" s="104">
        <f t="shared" si="2"/>
        <v>1.32533102762428</v>
      </c>
      <c r="H15" s="125">
        <v>5.9239166898529996E-2</v>
      </c>
      <c r="I15" s="126">
        <f t="shared" si="3"/>
        <v>0</v>
      </c>
      <c r="J15" s="97"/>
      <c r="K15" s="97"/>
      <c r="L15" s="71"/>
      <c r="M15" s="97"/>
      <c r="N15" s="97"/>
      <c r="O15" s="97"/>
      <c r="P15" s="117"/>
      <c r="Q15" s="71">
        <f t="shared" si="4"/>
        <v>11</v>
      </c>
      <c r="R15" s="122">
        <v>-1.0360429594300001E-6</v>
      </c>
      <c r="V15" s="116"/>
      <c r="W15" s="116"/>
      <c r="X15" s="124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2:44" s="112" customFormat="1" x14ac:dyDescent="0.2">
      <c r="B16" s="118">
        <v>43168</v>
      </c>
      <c r="C16" s="119">
        <f t="shared" si="0"/>
        <v>5</v>
      </c>
      <c r="D16" s="119" t="str">
        <f t="shared" si="1"/>
        <v>VIERNES</v>
      </c>
      <c r="E16" s="105">
        <v>1.00002046</v>
      </c>
      <c r="F16" s="105">
        <v>489.91</v>
      </c>
      <c r="G16" s="104">
        <f t="shared" si="2"/>
        <v>1.3226312842342001</v>
      </c>
      <c r="H16" s="125">
        <v>5.9239166898529996E-2</v>
      </c>
      <c r="I16" s="126">
        <f t="shared" si="3"/>
        <v>0</v>
      </c>
      <c r="J16" s="97"/>
      <c r="K16" s="97"/>
      <c r="L16" s="71"/>
      <c r="M16" s="97"/>
      <c r="N16" s="97"/>
      <c r="O16" s="97"/>
      <c r="P16" s="117"/>
      <c r="Q16" s="71">
        <f t="shared" si="4"/>
        <v>12</v>
      </c>
      <c r="R16" s="122">
        <v>-1.10990306E-9</v>
      </c>
      <c r="V16" s="116"/>
      <c r="W16" s="116"/>
      <c r="X16" s="124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2:44" s="112" customFormat="1" x14ac:dyDescent="0.2">
      <c r="B17" s="118">
        <v>43171</v>
      </c>
      <c r="C17" s="119">
        <f t="shared" si="0"/>
        <v>1</v>
      </c>
      <c r="D17" s="119" t="str">
        <f t="shared" si="1"/>
        <v>LUNES</v>
      </c>
      <c r="E17" s="105">
        <v>1.0000196800000001</v>
      </c>
      <c r="F17" s="105">
        <v>486.91</v>
      </c>
      <c r="G17" s="104">
        <f t="shared" si="2"/>
        <v>1.31453205406396</v>
      </c>
      <c r="H17" s="125">
        <v>5.9239166898529996E-2</v>
      </c>
      <c r="I17" s="126">
        <f t="shared" si="3"/>
        <v>0</v>
      </c>
      <c r="J17" s="97"/>
      <c r="K17" s="97"/>
      <c r="L17" s="71"/>
      <c r="M17" s="97"/>
      <c r="N17" s="97"/>
      <c r="O17" s="97"/>
      <c r="P17" s="117"/>
      <c r="Q17" s="71">
        <f t="shared" si="4"/>
        <v>13</v>
      </c>
      <c r="R17" s="122">
        <v>0</v>
      </c>
      <c r="V17" s="116"/>
      <c r="W17" s="116"/>
      <c r="X17" s="124"/>
      <c r="Y17" s="99">
        <v>1</v>
      </c>
      <c r="Z17" s="99" t="s">
        <v>283</v>
      </c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spans="2:44" s="112" customFormat="1" x14ac:dyDescent="0.2">
      <c r="B18" s="118">
        <v>43172</v>
      </c>
      <c r="C18" s="119">
        <f t="shared" si="0"/>
        <v>2</v>
      </c>
      <c r="D18" s="119" t="str">
        <f t="shared" si="1"/>
        <v>MARTES</v>
      </c>
      <c r="E18" s="105">
        <v>1.0000194600000001</v>
      </c>
      <c r="F18" s="105">
        <v>485.91</v>
      </c>
      <c r="G18" s="104">
        <f t="shared" si="2"/>
        <v>1.3118323106738801</v>
      </c>
      <c r="H18" s="125">
        <v>5.9239166898529996E-2</v>
      </c>
      <c r="I18" s="126">
        <f t="shared" si="3"/>
        <v>0</v>
      </c>
      <c r="J18" s="97"/>
      <c r="K18" s="97"/>
      <c r="L18" s="71"/>
      <c r="M18" s="97"/>
      <c r="N18" s="97"/>
      <c r="O18" s="97"/>
      <c r="P18" s="117"/>
      <c r="Q18" s="71">
        <f t="shared" si="4"/>
        <v>14</v>
      </c>
      <c r="R18" s="122">
        <v>0</v>
      </c>
      <c r="V18" s="116"/>
      <c r="W18" s="116"/>
      <c r="X18" s="124"/>
      <c r="Y18" s="99">
        <v>2</v>
      </c>
      <c r="Z18" s="99" t="s">
        <v>286</v>
      </c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</row>
    <row r="19" spans="2:44" s="112" customFormat="1" x14ac:dyDescent="0.2">
      <c r="B19" s="118">
        <v>43173</v>
      </c>
      <c r="C19" s="119">
        <f t="shared" si="0"/>
        <v>3</v>
      </c>
      <c r="D19" s="119" t="str">
        <f t="shared" si="1"/>
        <v>MIERCOLES</v>
      </c>
      <c r="E19" s="105">
        <v>1.0000192800000001</v>
      </c>
      <c r="F19" s="105">
        <v>484.91</v>
      </c>
      <c r="G19" s="104">
        <f t="shared" si="2"/>
        <v>1.3091325672837999</v>
      </c>
      <c r="H19" s="125">
        <v>5.9239166898529996E-2</v>
      </c>
      <c r="I19" s="126">
        <f t="shared" si="3"/>
        <v>0</v>
      </c>
      <c r="J19" s="97"/>
      <c r="K19" s="97"/>
      <c r="L19" s="71"/>
      <c r="M19" s="97"/>
      <c r="N19" s="97"/>
      <c r="O19" s="97"/>
      <c r="P19" s="117"/>
      <c r="Q19" s="71">
        <f t="shared" si="4"/>
        <v>15</v>
      </c>
      <c r="R19" s="122">
        <v>0</v>
      </c>
      <c r="V19" s="116"/>
      <c r="W19" s="116"/>
      <c r="X19" s="124"/>
      <c r="Y19" s="99">
        <v>3</v>
      </c>
      <c r="Z19" s="99" t="s">
        <v>289</v>
      </c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2:44" s="112" customFormat="1" x14ac:dyDescent="0.2">
      <c r="B20" s="118">
        <v>43174</v>
      </c>
      <c r="C20" s="119">
        <f t="shared" si="0"/>
        <v>4</v>
      </c>
      <c r="D20" s="119" t="str">
        <f t="shared" si="1"/>
        <v>JUEVES</v>
      </c>
      <c r="E20" s="105">
        <v>1.00001911</v>
      </c>
      <c r="F20" s="105">
        <v>483.91</v>
      </c>
      <c r="G20" s="104">
        <f t="shared" si="2"/>
        <v>1.30643282389372</v>
      </c>
      <c r="H20" s="125">
        <v>5.9239166898529996E-2</v>
      </c>
      <c r="I20" s="126">
        <f t="shared" si="3"/>
        <v>0</v>
      </c>
      <c r="J20" s="97"/>
      <c r="K20" s="97"/>
      <c r="L20" s="71"/>
      <c r="M20" s="97"/>
      <c r="N20" s="97"/>
      <c r="O20" s="97"/>
      <c r="P20" s="117"/>
      <c r="Q20" s="71">
        <f t="shared" si="4"/>
        <v>16</v>
      </c>
      <c r="R20" s="122">
        <v>0</v>
      </c>
      <c r="V20" s="116"/>
      <c r="W20" s="116"/>
      <c r="X20" s="124"/>
      <c r="Y20" s="99">
        <v>4</v>
      </c>
      <c r="Z20" s="99" t="s">
        <v>291</v>
      </c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2:44" s="112" customFormat="1" x14ac:dyDescent="0.2">
      <c r="B21" s="118">
        <v>43175</v>
      </c>
      <c r="C21" s="119">
        <f t="shared" si="0"/>
        <v>5</v>
      </c>
      <c r="D21" s="119" t="str">
        <f t="shared" si="1"/>
        <v>VIERNES</v>
      </c>
      <c r="E21" s="105">
        <v>1.00001897</v>
      </c>
      <c r="F21" s="105">
        <v>482.91</v>
      </c>
      <c r="G21" s="104">
        <f t="shared" si="2"/>
        <v>1.30373308050364</v>
      </c>
      <c r="H21" s="125">
        <v>5.9239166898529996E-2</v>
      </c>
      <c r="I21" s="126">
        <f t="shared" si="3"/>
        <v>0</v>
      </c>
      <c r="J21" s="97"/>
      <c r="K21" s="97"/>
      <c r="L21" s="71"/>
      <c r="M21" s="97"/>
      <c r="N21" s="97"/>
      <c r="O21" s="97"/>
      <c r="P21" s="117"/>
      <c r="Q21" s="71">
        <f t="shared" si="4"/>
        <v>17</v>
      </c>
      <c r="R21" s="122">
        <v>0</v>
      </c>
      <c r="V21" s="116"/>
      <c r="W21" s="116"/>
      <c r="X21" s="124"/>
      <c r="Y21" s="99">
        <v>6</v>
      </c>
      <c r="Z21" s="99" t="s">
        <v>284</v>
      </c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spans="2:44" s="112" customFormat="1" x14ac:dyDescent="0.2">
      <c r="B22" s="118">
        <v>43178</v>
      </c>
      <c r="C22" s="119">
        <f t="shared" si="0"/>
        <v>1</v>
      </c>
      <c r="D22" s="119" t="str">
        <f t="shared" si="1"/>
        <v>LUNES</v>
      </c>
      <c r="E22" s="105">
        <v>1.00001871</v>
      </c>
      <c r="F22" s="105">
        <v>479.91</v>
      </c>
      <c r="G22" s="104">
        <f t="shared" si="2"/>
        <v>1.2956338503334</v>
      </c>
      <c r="H22" s="125">
        <v>5.9239166898529996E-2</v>
      </c>
      <c r="I22" s="126">
        <f t="shared" si="3"/>
        <v>0</v>
      </c>
      <c r="J22" s="97"/>
      <c r="K22" s="97"/>
      <c r="L22" s="71"/>
      <c r="M22" s="97"/>
      <c r="N22" s="97"/>
      <c r="O22" s="97"/>
      <c r="P22" s="117"/>
      <c r="Q22" s="71">
        <f t="shared" si="4"/>
        <v>18</v>
      </c>
      <c r="R22" s="122">
        <v>0</v>
      </c>
      <c r="V22" s="116"/>
      <c r="W22" s="116"/>
      <c r="X22" s="124"/>
      <c r="Y22" s="99">
        <v>7</v>
      </c>
      <c r="Z22" s="99" t="s">
        <v>287</v>
      </c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</row>
    <row r="23" spans="2:44" s="112" customFormat="1" x14ac:dyDescent="0.2">
      <c r="B23" s="118">
        <v>43179</v>
      </c>
      <c r="C23" s="119">
        <f t="shared" si="0"/>
        <v>2</v>
      </c>
      <c r="D23" s="119" t="str">
        <f t="shared" si="1"/>
        <v>MARTES</v>
      </c>
      <c r="E23" s="105">
        <v>1.00001867</v>
      </c>
      <c r="F23" s="105">
        <v>478.91</v>
      </c>
      <c r="G23" s="104">
        <f t="shared" si="2"/>
        <v>1.29293410694332</v>
      </c>
      <c r="H23" s="125">
        <v>5.9239166898529996E-2</v>
      </c>
      <c r="I23" s="126">
        <f t="shared" si="3"/>
        <v>0</v>
      </c>
      <c r="J23" s="97"/>
      <c r="K23" s="97"/>
      <c r="L23" s="71"/>
      <c r="M23" s="97"/>
      <c r="N23" s="97"/>
      <c r="O23" s="97"/>
      <c r="P23" s="117"/>
      <c r="Q23" s="71">
        <f t="shared" si="4"/>
        <v>19</v>
      </c>
      <c r="R23" s="122">
        <v>0</v>
      </c>
      <c r="V23" s="116"/>
      <c r="W23" s="116"/>
      <c r="X23" s="124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</row>
    <row r="24" spans="2:44" s="112" customFormat="1" x14ac:dyDescent="0.2">
      <c r="B24" s="118">
        <v>43185</v>
      </c>
      <c r="C24" s="119">
        <f t="shared" si="0"/>
        <v>1</v>
      </c>
      <c r="D24" s="119" t="str">
        <f t="shared" si="1"/>
        <v>LUNES</v>
      </c>
      <c r="E24" s="105">
        <v>1.0000189799999999</v>
      </c>
      <c r="F24" s="105">
        <v>472.91</v>
      </c>
      <c r="G24" s="104">
        <f t="shared" si="2"/>
        <v>1.2767356466028399</v>
      </c>
      <c r="H24" s="125">
        <v>5.9239166898529996E-2</v>
      </c>
      <c r="I24" s="126">
        <f t="shared" si="3"/>
        <v>0</v>
      </c>
      <c r="J24" s="97"/>
      <c r="K24" s="97"/>
      <c r="L24" s="71"/>
      <c r="M24" s="97"/>
      <c r="N24" s="97"/>
      <c r="O24" s="97"/>
      <c r="P24" s="117"/>
      <c r="Q24" s="71">
        <f t="shared" si="4"/>
        <v>20</v>
      </c>
      <c r="R24" s="122">
        <v>0</v>
      </c>
      <c r="V24" s="116"/>
      <c r="W24" s="116"/>
      <c r="X24" s="124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</row>
    <row r="25" spans="2:44" s="112" customFormat="1" x14ac:dyDescent="0.2">
      <c r="B25" s="118">
        <v>43186</v>
      </c>
      <c r="C25" s="119">
        <f t="shared" si="0"/>
        <v>2</v>
      </c>
      <c r="D25" s="119" t="str">
        <f t="shared" si="1"/>
        <v>MARTES</v>
      </c>
      <c r="E25" s="105">
        <v>1.00001911</v>
      </c>
      <c r="F25" s="105">
        <v>471.91</v>
      </c>
      <c r="G25" s="104">
        <f t="shared" si="2"/>
        <v>1.2740359032127599</v>
      </c>
      <c r="H25" s="125">
        <v>5.9239166898529996E-2</v>
      </c>
      <c r="I25" s="126">
        <f t="shared" si="3"/>
        <v>0</v>
      </c>
      <c r="J25" s="97"/>
      <c r="K25" s="97"/>
      <c r="L25" s="71"/>
      <c r="M25" s="97"/>
      <c r="N25" s="97"/>
      <c r="O25" s="97"/>
      <c r="P25" s="117"/>
      <c r="Q25" s="71">
        <f t="shared" si="4"/>
        <v>21</v>
      </c>
      <c r="R25" s="122">
        <v>0</v>
      </c>
      <c r="T25" s="127"/>
      <c r="V25" s="116"/>
      <c r="W25" s="116"/>
      <c r="X25" s="124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</row>
    <row r="26" spans="2:44" s="112" customFormat="1" x14ac:dyDescent="0.2">
      <c r="B26" s="118">
        <v>43192</v>
      </c>
      <c r="C26" s="119">
        <f t="shared" si="0"/>
        <v>1</v>
      </c>
      <c r="D26" s="119" t="str">
        <f t="shared" si="1"/>
        <v>LUNES</v>
      </c>
      <c r="E26" s="105">
        <v>1.0000204699999999</v>
      </c>
      <c r="F26" s="105">
        <v>465.91</v>
      </c>
      <c r="G26" s="104">
        <f t="shared" si="2"/>
        <v>1.2578374428722701</v>
      </c>
      <c r="H26" s="125">
        <v>5.9239166898529996E-2</v>
      </c>
      <c r="I26" s="126">
        <f t="shared" si="3"/>
        <v>0</v>
      </c>
      <c r="J26" s="97"/>
      <c r="K26" s="97"/>
      <c r="L26" s="71"/>
      <c r="M26" s="97"/>
      <c r="N26" s="97"/>
      <c r="O26" s="97"/>
      <c r="P26" s="117"/>
      <c r="Q26" s="71">
        <f t="shared" si="4"/>
        <v>22</v>
      </c>
      <c r="R26" s="122">
        <v>0</v>
      </c>
      <c r="V26" s="116"/>
      <c r="W26" s="116"/>
      <c r="X26" s="124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</row>
    <row r="27" spans="2:44" s="112" customFormat="1" x14ac:dyDescent="0.2">
      <c r="B27" s="118">
        <v>43193</v>
      </c>
      <c r="C27" s="119">
        <f t="shared" si="0"/>
        <v>2</v>
      </c>
      <c r="D27" s="119" t="str">
        <f t="shared" si="1"/>
        <v>MARTES</v>
      </c>
      <c r="E27" s="105">
        <v>1.00002079</v>
      </c>
      <c r="F27" s="105">
        <v>464.91</v>
      </c>
      <c r="G27" s="104">
        <f t="shared" si="2"/>
        <v>1.2551376994821899</v>
      </c>
      <c r="H27" s="125">
        <v>5.9239166898529996E-2</v>
      </c>
      <c r="I27" s="126">
        <f t="shared" si="3"/>
        <v>0</v>
      </c>
      <c r="J27" s="97"/>
      <c r="K27" s="97"/>
      <c r="L27" s="71"/>
      <c r="M27" s="97"/>
      <c r="N27" s="97"/>
      <c r="O27" s="97"/>
      <c r="P27" s="117"/>
      <c r="Q27" s="71">
        <f t="shared" si="4"/>
        <v>23</v>
      </c>
      <c r="R27" s="122">
        <v>0</v>
      </c>
      <c r="T27" s="128"/>
      <c r="V27" s="116"/>
      <c r="W27" s="116"/>
      <c r="X27" s="124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</row>
    <row r="28" spans="2:44" s="112" customFormat="1" x14ac:dyDescent="0.2">
      <c r="B28" s="118">
        <v>43194</v>
      </c>
      <c r="C28" s="119">
        <f t="shared" si="0"/>
        <v>3</v>
      </c>
      <c r="D28" s="119" t="str">
        <f t="shared" si="1"/>
        <v>MIERCOLES</v>
      </c>
      <c r="E28" s="105">
        <v>1.00002112</v>
      </c>
      <c r="F28" s="105">
        <v>463.91</v>
      </c>
      <c r="G28" s="104">
        <f t="shared" si="2"/>
        <v>1.2524379560921099</v>
      </c>
      <c r="H28" s="125">
        <v>5.9239166898529996E-2</v>
      </c>
      <c r="I28" s="126">
        <f t="shared" si="3"/>
        <v>0</v>
      </c>
      <c r="J28" s="97"/>
      <c r="K28" s="97"/>
      <c r="L28" s="71"/>
      <c r="M28" s="97"/>
      <c r="N28" s="97"/>
      <c r="O28" s="97"/>
      <c r="P28" s="117"/>
      <c r="Q28" s="71">
        <f t="shared" si="4"/>
        <v>24</v>
      </c>
      <c r="R28" s="122">
        <v>0</v>
      </c>
      <c r="V28" s="116"/>
      <c r="W28" s="116"/>
      <c r="X28" s="124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</row>
    <row r="29" spans="2:44" s="112" customFormat="1" x14ac:dyDescent="0.2">
      <c r="B29" s="118">
        <v>43195</v>
      </c>
      <c r="C29" s="119">
        <f t="shared" si="0"/>
        <v>4</v>
      </c>
      <c r="D29" s="119" t="str">
        <f t="shared" si="1"/>
        <v>JUEVES</v>
      </c>
      <c r="E29" s="105">
        <v>1.00002149</v>
      </c>
      <c r="F29" s="105">
        <v>462.91</v>
      </c>
      <c r="G29" s="104">
        <f t="shared" si="2"/>
        <v>1.24973821270203</v>
      </c>
      <c r="H29" s="125">
        <v>5.9239166898529996E-2</v>
      </c>
      <c r="I29" s="126">
        <f t="shared" si="3"/>
        <v>0</v>
      </c>
      <c r="J29" s="97"/>
      <c r="K29" s="97"/>
      <c r="L29" s="71"/>
      <c r="M29" s="97"/>
      <c r="N29" s="97"/>
      <c r="O29" s="97"/>
      <c r="P29" s="117"/>
      <c r="Q29" s="71">
        <f t="shared" si="4"/>
        <v>25</v>
      </c>
      <c r="R29" s="122">
        <v>0</v>
      </c>
      <c r="S29" s="57" t="s">
        <v>282</v>
      </c>
      <c r="T29" s="129"/>
      <c r="V29" s="116"/>
      <c r="W29" s="116"/>
      <c r="X29" s="124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</row>
    <row r="30" spans="2:44" s="112" customFormat="1" x14ac:dyDescent="0.2">
      <c r="B30" s="118">
        <v>43196</v>
      </c>
      <c r="C30" s="119">
        <f t="shared" si="0"/>
        <v>5</v>
      </c>
      <c r="D30" s="119" t="str">
        <f t="shared" si="1"/>
        <v>VIERNES</v>
      </c>
      <c r="E30" s="105">
        <v>1.0000218700000001</v>
      </c>
      <c r="F30" s="105">
        <v>461.91</v>
      </c>
      <c r="G30" s="104">
        <f t="shared" si="2"/>
        <v>1.2470384693119501</v>
      </c>
      <c r="H30" s="125">
        <v>5.9239166898529996E-2</v>
      </c>
      <c r="I30" s="126">
        <f t="shared" si="3"/>
        <v>0</v>
      </c>
      <c r="J30" s="97"/>
      <c r="K30" s="97"/>
      <c r="L30" s="71"/>
      <c r="M30" s="97"/>
      <c r="N30" s="97"/>
      <c r="O30" s="97"/>
      <c r="P30" s="117"/>
      <c r="Q30" s="71">
        <f t="shared" si="4"/>
        <v>26</v>
      </c>
      <c r="R30" s="122">
        <v>0</v>
      </c>
      <c r="V30" s="116"/>
      <c r="W30" s="116"/>
      <c r="X30" s="124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</row>
    <row r="31" spans="2:44" s="112" customFormat="1" x14ac:dyDescent="0.2">
      <c r="B31" s="118">
        <v>43199</v>
      </c>
      <c r="C31" s="119">
        <f t="shared" si="0"/>
        <v>1</v>
      </c>
      <c r="D31" s="119" t="str">
        <f t="shared" si="1"/>
        <v>LUNES</v>
      </c>
      <c r="E31" s="105">
        <v>1.0000231900000001</v>
      </c>
      <c r="F31" s="105">
        <v>458.91</v>
      </c>
      <c r="G31" s="104">
        <f t="shared" si="2"/>
        <v>1.23893923914171</v>
      </c>
      <c r="H31" s="125">
        <v>5.9239166898529996E-2</v>
      </c>
      <c r="I31" s="126">
        <f t="shared" si="3"/>
        <v>0</v>
      </c>
      <c r="J31" s="97"/>
      <c r="K31" s="97"/>
      <c r="L31" s="71"/>
      <c r="M31" s="97"/>
      <c r="N31" s="97"/>
      <c r="O31" s="97"/>
      <c r="P31" s="117"/>
      <c r="Q31" s="71">
        <f t="shared" si="4"/>
        <v>27</v>
      </c>
      <c r="R31" s="122">
        <v>0</v>
      </c>
      <c r="V31" s="116"/>
      <c r="W31" s="116"/>
      <c r="X31" s="124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</row>
    <row r="32" spans="2:44" s="112" customFormat="1" x14ac:dyDescent="0.2">
      <c r="B32" s="118">
        <v>43200</v>
      </c>
      <c r="C32" s="119">
        <f t="shared" si="0"/>
        <v>2</v>
      </c>
      <c r="D32" s="119" t="str">
        <f t="shared" si="1"/>
        <v>MARTES</v>
      </c>
      <c r="E32" s="105">
        <v>1.00002368</v>
      </c>
      <c r="F32" s="105">
        <v>457.91</v>
      </c>
      <c r="G32" s="104">
        <f t="shared" si="2"/>
        <v>1.2362394957516301</v>
      </c>
      <c r="H32" s="125">
        <v>5.9239166898529996E-2</v>
      </c>
      <c r="I32" s="126">
        <f t="shared" si="3"/>
        <v>0</v>
      </c>
      <c r="J32" s="97"/>
      <c r="K32" s="97"/>
      <c r="L32" s="71"/>
      <c r="M32" s="97"/>
      <c r="N32" s="97"/>
      <c r="O32" s="97"/>
      <c r="P32" s="117"/>
      <c r="Q32" s="71">
        <f t="shared" si="4"/>
        <v>28</v>
      </c>
      <c r="R32" s="122">
        <v>0</v>
      </c>
      <c r="V32" s="116"/>
      <c r="W32" s="116"/>
      <c r="X32" s="124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</row>
    <row r="33" spans="2:44" s="112" customFormat="1" x14ac:dyDescent="0.2">
      <c r="B33" s="118">
        <v>43201</v>
      </c>
      <c r="C33" s="119">
        <f t="shared" si="0"/>
        <v>3</v>
      </c>
      <c r="D33" s="119" t="str">
        <f t="shared" si="1"/>
        <v>MIERCOLES</v>
      </c>
      <c r="E33" s="105">
        <v>1.00002419</v>
      </c>
      <c r="F33" s="105">
        <v>456.91</v>
      </c>
      <c r="G33" s="104">
        <f t="shared" si="2"/>
        <v>1.2335397523615499</v>
      </c>
      <c r="H33" s="125">
        <v>5.9239166898529996E-2</v>
      </c>
      <c r="I33" s="126">
        <f t="shared" si="3"/>
        <v>0</v>
      </c>
      <c r="J33" s="97"/>
      <c r="K33" s="97"/>
      <c r="L33" s="71"/>
      <c r="M33" s="97"/>
      <c r="N33" s="97"/>
      <c r="O33" s="97"/>
      <c r="P33" s="117"/>
      <c r="Q33" s="71">
        <f t="shared" si="4"/>
        <v>29</v>
      </c>
      <c r="R33" s="122">
        <v>0</v>
      </c>
      <c r="V33" s="116"/>
      <c r="W33" s="116"/>
      <c r="X33" s="124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</row>
    <row r="34" spans="2:44" s="112" customFormat="1" x14ac:dyDescent="0.2">
      <c r="B34" s="118">
        <v>43202</v>
      </c>
      <c r="C34" s="119">
        <f t="shared" si="0"/>
        <v>4</v>
      </c>
      <c r="D34" s="119" t="str">
        <f t="shared" si="1"/>
        <v>JUEVES</v>
      </c>
      <c r="E34" s="105">
        <v>1.00002474</v>
      </c>
      <c r="F34" s="105">
        <v>455.91</v>
      </c>
      <c r="G34" s="104">
        <f t="shared" si="2"/>
        <v>1.2308400089714699</v>
      </c>
      <c r="H34" s="125">
        <v>5.9239166898529996E-2</v>
      </c>
      <c r="I34" s="126">
        <f t="shared" si="3"/>
        <v>0</v>
      </c>
      <c r="J34" s="97"/>
      <c r="K34" s="97"/>
      <c r="L34" s="71"/>
      <c r="M34" s="97"/>
      <c r="N34" s="97"/>
      <c r="O34" s="97"/>
      <c r="P34" s="117"/>
      <c r="Q34" s="71">
        <f t="shared" si="4"/>
        <v>30</v>
      </c>
      <c r="R34" s="122">
        <v>0</v>
      </c>
      <c r="V34" s="116"/>
      <c r="W34" s="116"/>
      <c r="X34" s="124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</row>
    <row r="35" spans="2:44" s="112" customFormat="1" x14ac:dyDescent="0.2">
      <c r="B35" s="118">
        <v>43203</v>
      </c>
      <c r="C35" s="119">
        <f t="shared" si="0"/>
        <v>5</v>
      </c>
      <c r="D35" s="119" t="str">
        <f t="shared" si="1"/>
        <v>VIERNES</v>
      </c>
      <c r="E35" s="105">
        <v>1.0000252999999999</v>
      </c>
      <c r="F35" s="105">
        <v>454.91</v>
      </c>
      <c r="G35" s="104">
        <f t="shared" si="2"/>
        <v>1.22814026558139</v>
      </c>
      <c r="H35" s="125">
        <v>5.9239166898529996E-2</v>
      </c>
      <c r="I35" s="126">
        <f t="shared" si="3"/>
        <v>0</v>
      </c>
      <c r="J35" s="97"/>
      <c r="K35" s="97"/>
      <c r="L35" s="71"/>
      <c r="M35" s="97"/>
      <c r="N35" s="97"/>
      <c r="O35" s="97"/>
      <c r="P35" s="117"/>
      <c r="Q35" s="71">
        <f t="shared" si="4"/>
        <v>31</v>
      </c>
      <c r="R35" s="122">
        <v>0</v>
      </c>
      <c r="V35" s="116"/>
      <c r="W35" s="116"/>
      <c r="X35" s="124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</row>
    <row r="36" spans="2:44" s="112" customFormat="1" x14ac:dyDescent="0.2">
      <c r="B36" s="118">
        <v>43206</v>
      </c>
      <c r="C36" s="119">
        <f t="shared" si="0"/>
        <v>1</v>
      </c>
      <c r="D36" s="119" t="str">
        <f t="shared" si="1"/>
        <v>LUNES</v>
      </c>
      <c r="E36" s="105">
        <v>1.00002714</v>
      </c>
      <c r="F36" s="105">
        <v>451.91</v>
      </c>
      <c r="G36" s="104">
        <f t="shared" si="2"/>
        <v>1.2200410354111499</v>
      </c>
      <c r="H36" s="125">
        <v>5.9239166898529996E-2</v>
      </c>
      <c r="I36" s="126">
        <f t="shared" si="3"/>
        <v>0</v>
      </c>
      <c r="J36" s="97"/>
      <c r="K36" s="97"/>
      <c r="L36" s="71"/>
      <c r="M36" s="97"/>
      <c r="N36" s="97"/>
      <c r="O36" s="97"/>
      <c r="P36" s="117"/>
      <c r="Q36" s="71">
        <f t="shared" si="4"/>
        <v>32</v>
      </c>
      <c r="R36" s="122">
        <v>0</v>
      </c>
      <c r="V36" s="116"/>
      <c r="W36" s="116"/>
      <c r="X36" s="124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</row>
    <row r="37" spans="2:44" s="112" customFormat="1" x14ac:dyDescent="0.2">
      <c r="B37" s="118">
        <v>43207</v>
      </c>
      <c r="C37" s="119">
        <f t="shared" si="0"/>
        <v>2</v>
      </c>
      <c r="D37" s="119" t="str">
        <f t="shared" si="1"/>
        <v>MARTES</v>
      </c>
      <c r="E37" s="105">
        <v>1.00002781</v>
      </c>
      <c r="F37" s="105">
        <v>450.91</v>
      </c>
      <c r="G37" s="104">
        <f t="shared" si="2"/>
        <v>1.21734129202107</v>
      </c>
      <c r="H37" s="125">
        <v>5.9239166898529996E-2</v>
      </c>
      <c r="I37" s="126">
        <f t="shared" si="3"/>
        <v>0</v>
      </c>
      <c r="J37" s="97"/>
      <c r="K37" s="97"/>
      <c r="L37" s="71"/>
      <c r="M37" s="97"/>
      <c r="N37" s="97"/>
      <c r="O37" s="97"/>
      <c r="P37" s="117"/>
      <c r="Q37" s="71">
        <f t="shared" si="4"/>
        <v>33</v>
      </c>
      <c r="R37" s="122">
        <v>0</v>
      </c>
      <c r="V37" s="116"/>
      <c r="W37" s="116"/>
      <c r="X37" s="124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</row>
    <row r="38" spans="2:44" s="112" customFormat="1" x14ac:dyDescent="0.2">
      <c r="B38" s="118">
        <v>43208</v>
      </c>
      <c r="C38" s="119">
        <f t="shared" si="0"/>
        <v>3</v>
      </c>
      <c r="D38" s="119" t="str">
        <f t="shared" si="1"/>
        <v>MIERCOLES</v>
      </c>
      <c r="E38" s="105">
        <v>1.0000285</v>
      </c>
      <c r="F38" s="105">
        <v>449.91</v>
      </c>
      <c r="G38" s="104">
        <f t="shared" si="2"/>
        <v>1.2146415486309901</v>
      </c>
      <c r="H38" s="125">
        <v>5.9239166898529996E-2</v>
      </c>
      <c r="I38" s="126">
        <f t="shared" si="3"/>
        <v>0</v>
      </c>
      <c r="J38" s="97"/>
      <c r="K38" s="97"/>
      <c r="L38" s="71"/>
      <c r="M38" s="97"/>
      <c r="N38" s="97"/>
      <c r="O38" s="97"/>
      <c r="P38" s="117"/>
      <c r="Q38" s="71">
        <f t="shared" si="4"/>
        <v>34</v>
      </c>
      <c r="R38" s="122">
        <v>0</v>
      </c>
      <c r="V38" s="116"/>
      <c r="W38" s="116"/>
      <c r="X38" s="124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</row>
    <row r="39" spans="2:44" s="112" customFormat="1" x14ac:dyDescent="0.2">
      <c r="B39" s="118">
        <v>43209</v>
      </c>
      <c r="C39" s="119">
        <f t="shared" si="0"/>
        <v>4</v>
      </c>
      <c r="D39" s="119" t="str">
        <f t="shared" si="1"/>
        <v>JUEVES</v>
      </c>
      <c r="E39" s="105">
        <v>1.0000292200000001</v>
      </c>
      <c r="F39" s="105">
        <v>448.91</v>
      </c>
      <c r="G39" s="104">
        <f t="shared" si="2"/>
        <v>1.2119418052409101</v>
      </c>
      <c r="H39" s="125">
        <v>5.9239166898529996E-2</v>
      </c>
      <c r="I39" s="126">
        <f t="shared" si="3"/>
        <v>0</v>
      </c>
      <c r="J39" s="97"/>
      <c r="K39" s="97"/>
      <c r="L39" s="71"/>
      <c r="M39" s="97"/>
      <c r="N39" s="97"/>
      <c r="O39" s="97"/>
      <c r="P39" s="117"/>
      <c r="Q39" s="71">
        <f t="shared" si="4"/>
        <v>35</v>
      </c>
      <c r="R39" s="122">
        <v>0</v>
      </c>
      <c r="V39" s="116"/>
      <c r="W39" s="116"/>
      <c r="X39" s="124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</row>
    <row r="40" spans="2:44" s="112" customFormat="1" x14ac:dyDescent="0.2">
      <c r="B40" s="118">
        <v>43210</v>
      </c>
      <c r="C40" s="119">
        <f t="shared" si="0"/>
        <v>5</v>
      </c>
      <c r="D40" s="119" t="str">
        <f t="shared" si="1"/>
        <v>VIERNES</v>
      </c>
      <c r="E40" s="105">
        <v>1.00002996</v>
      </c>
      <c r="F40" s="105">
        <v>447.91</v>
      </c>
      <c r="G40" s="104">
        <f t="shared" si="2"/>
        <v>1.2092420618508299</v>
      </c>
      <c r="H40" s="125">
        <v>5.9239166898529996E-2</v>
      </c>
      <c r="I40" s="126">
        <f t="shared" si="3"/>
        <v>0</v>
      </c>
      <c r="J40" s="97"/>
      <c r="K40" s="97"/>
      <c r="L40" s="71"/>
      <c r="M40" s="97"/>
      <c r="N40" s="97"/>
      <c r="O40" s="97"/>
      <c r="P40" s="117"/>
      <c r="Q40" s="71">
        <f t="shared" si="4"/>
        <v>36</v>
      </c>
      <c r="R40" s="122">
        <v>0</v>
      </c>
      <c r="V40" s="116"/>
      <c r="W40" s="116"/>
      <c r="X40" s="124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</row>
    <row r="41" spans="2:44" s="112" customFormat="1" x14ac:dyDescent="0.2">
      <c r="B41" s="118">
        <v>43213</v>
      </c>
      <c r="C41" s="119">
        <f t="shared" si="0"/>
        <v>1</v>
      </c>
      <c r="D41" s="119" t="str">
        <f t="shared" si="1"/>
        <v>LUNES</v>
      </c>
      <c r="E41" s="105">
        <v>1.00003233</v>
      </c>
      <c r="F41" s="105">
        <v>444.91</v>
      </c>
      <c r="G41" s="104">
        <f t="shared" si="2"/>
        <v>1.2011428316805901</v>
      </c>
      <c r="H41" s="125">
        <v>5.9239166898529996E-2</v>
      </c>
      <c r="I41" s="126">
        <f t="shared" si="3"/>
        <v>0</v>
      </c>
      <c r="J41" s="97"/>
      <c r="K41" s="97"/>
      <c r="L41" s="71"/>
      <c r="M41" s="97"/>
      <c r="N41" s="97"/>
      <c r="O41" s="97"/>
      <c r="P41" s="117"/>
      <c r="Q41" s="71">
        <f t="shared" si="4"/>
        <v>37</v>
      </c>
      <c r="R41" s="122">
        <v>0</v>
      </c>
      <c r="V41" s="116"/>
      <c r="W41" s="116"/>
      <c r="X41" s="124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</row>
    <row r="42" spans="2:44" s="112" customFormat="1" x14ac:dyDescent="0.2">
      <c r="B42" s="118">
        <v>43214</v>
      </c>
      <c r="C42" s="119">
        <f t="shared" si="0"/>
        <v>2</v>
      </c>
      <c r="D42" s="119" t="str">
        <f t="shared" si="1"/>
        <v>MARTES</v>
      </c>
      <c r="E42" s="105">
        <v>1.00003318</v>
      </c>
      <c r="F42" s="105">
        <v>443.91</v>
      </c>
      <c r="G42" s="104">
        <f t="shared" si="2"/>
        <v>1.1984430882905099</v>
      </c>
      <c r="H42" s="125">
        <v>5.9239166898529996E-2</v>
      </c>
      <c r="I42" s="126">
        <f t="shared" si="3"/>
        <v>0</v>
      </c>
      <c r="J42" s="97"/>
      <c r="K42" s="97"/>
      <c r="L42" s="71"/>
      <c r="M42" s="97"/>
      <c r="N42" s="97"/>
      <c r="O42" s="97"/>
      <c r="P42" s="117"/>
      <c r="Q42" s="71">
        <f t="shared" si="4"/>
        <v>38</v>
      </c>
      <c r="R42" s="122">
        <v>0</v>
      </c>
      <c r="V42" s="116"/>
      <c r="W42" s="116"/>
      <c r="X42" s="124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</row>
    <row r="43" spans="2:44" s="112" customFormat="1" x14ac:dyDescent="0.2">
      <c r="B43" s="118">
        <v>43215</v>
      </c>
      <c r="C43" s="119">
        <f t="shared" si="0"/>
        <v>3</v>
      </c>
      <c r="D43" s="119" t="str">
        <f t="shared" si="1"/>
        <v>MIERCOLES</v>
      </c>
      <c r="E43" s="105">
        <v>1.0000340400000001</v>
      </c>
      <c r="F43" s="105">
        <v>442.91</v>
      </c>
      <c r="G43" s="104">
        <f t="shared" si="2"/>
        <v>1.19574334490043</v>
      </c>
      <c r="H43" s="125">
        <v>5.9239166898529996E-2</v>
      </c>
      <c r="I43" s="126">
        <f t="shared" si="3"/>
        <v>0</v>
      </c>
      <c r="J43" s="97"/>
      <c r="K43" s="97"/>
      <c r="L43" s="71"/>
      <c r="M43" s="97"/>
      <c r="N43" s="97"/>
      <c r="O43" s="97"/>
      <c r="P43" s="117"/>
      <c r="Q43" s="71">
        <f t="shared" si="4"/>
        <v>39</v>
      </c>
      <c r="R43" s="122">
        <v>0</v>
      </c>
      <c r="V43" s="116"/>
      <c r="W43" s="116"/>
      <c r="X43" s="124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</row>
    <row r="44" spans="2:44" s="112" customFormat="1" x14ac:dyDescent="0.2">
      <c r="B44" s="118">
        <v>43216</v>
      </c>
      <c r="C44" s="119">
        <f t="shared" si="0"/>
        <v>4</v>
      </c>
      <c r="D44" s="119" t="str">
        <f t="shared" si="1"/>
        <v>JUEVES</v>
      </c>
      <c r="E44" s="105">
        <v>1.00003493</v>
      </c>
      <c r="F44" s="105">
        <v>441.91</v>
      </c>
      <c r="G44" s="104">
        <f t="shared" si="2"/>
        <v>1.19304360151035</v>
      </c>
      <c r="H44" s="125">
        <v>5.9239166898529996E-2</v>
      </c>
      <c r="I44" s="126">
        <f t="shared" si="3"/>
        <v>0</v>
      </c>
      <c r="J44" s="97"/>
      <c r="K44" s="97"/>
      <c r="L44" s="71"/>
      <c r="M44" s="97"/>
      <c r="N44" s="97"/>
      <c r="O44" s="97"/>
      <c r="P44" s="117"/>
      <c r="Q44" s="71">
        <f t="shared" si="4"/>
        <v>40</v>
      </c>
      <c r="R44" s="122">
        <v>0</v>
      </c>
      <c r="V44" s="116"/>
      <c r="W44" s="116"/>
      <c r="X44" s="124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</row>
    <row r="45" spans="2:44" s="112" customFormat="1" x14ac:dyDescent="0.2">
      <c r="B45" s="118">
        <v>43217</v>
      </c>
      <c r="C45" s="119">
        <f t="shared" si="0"/>
        <v>5</v>
      </c>
      <c r="D45" s="119" t="str">
        <f t="shared" si="1"/>
        <v>VIERNES</v>
      </c>
      <c r="E45" s="105">
        <v>1.0000358499999999</v>
      </c>
      <c r="F45" s="105">
        <v>440.91</v>
      </c>
      <c r="G45" s="104">
        <f t="shared" si="2"/>
        <v>1.1903438581202701</v>
      </c>
      <c r="H45" s="125">
        <v>5.9239166898529996E-2</v>
      </c>
      <c r="I45" s="126">
        <f t="shared" si="3"/>
        <v>0</v>
      </c>
      <c r="J45" s="97"/>
      <c r="K45" s="97"/>
      <c r="L45" s="71"/>
      <c r="M45" s="97"/>
      <c r="N45" s="97"/>
      <c r="O45" s="97"/>
      <c r="P45" s="117"/>
      <c r="Q45" s="71">
        <f t="shared" si="4"/>
        <v>41</v>
      </c>
      <c r="R45" s="122">
        <v>0</v>
      </c>
      <c r="V45" s="116"/>
      <c r="W45" s="116"/>
      <c r="X45" s="124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</row>
    <row r="46" spans="2:44" s="112" customFormat="1" x14ac:dyDescent="0.2">
      <c r="B46" s="118">
        <v>43220</v>
      </c>
      <c r="C46" s="119">
        <f t="shared" si="0"/>
        <v>1</v>
      </c>
      <c r="D46" s="119" t="str">
        <f t="shared" si="1"/>
        <v>LUNES</v>
      </c>
      <c r="E46" s="105">
        <v>1.0000387500000001</v>
      </c>
      <c r="F46" s="105">
        <v>444.1</v>
      </c>
      <c r="G46" s="104">
        <f t="shared" si="2"/>
        <v>1.1989560395346299</v>
      </c>
      <c r="H46" s="125">
        <v>5.9239166898529996E-2</v>
      </c>
      <c r="I46" s="126">
        <f t="shared" si="3"/>
        <v>0</v>
      </c>
      <c r="J46" s="97"/>
      <c r="K46" s="97"/>
      <c r="L46" s="71"/>
      <c r="M46" s="97"/>
      <c r="N46" s="97"/>
      <c r="O46" s="97"/>
      <c r="P46" s="117"/>
      <c r="Q46" s="71">
        <f t="shared" si="4"/>
        <v>42</v>
      </c>
      <c r="R46" s="122">
        <v>0</v>
      </c>
      <c r="V46" s="116"/>
      <c r="W46" s="116"/>
      <c r="X46" s="124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</row>
    <row r="47" spans="2:44" s="112" customFormat="1" x14ac:dyDescent="0.2">
      <c r="B47" s="118">
        <v>43222</v>
      </c>
      <c r="C47" s="119">
        <f t="shared" si="0"/>
        <v>3</v>
      </c>
      <c r="D47" s="119" t="str">
        <f t="shared" si="1"/>
        <v>MIERCOLES</v>
      </c>
      <c r="E47" s="105">
        <v>1.00003635</v>
      </c>
      <c r="F47" s="105">
        <v>442.1</v>
      </c>
      <c r="G47" s="104">
        <f t="shared" si="2"/>
        <v>1.19355655275446</v>
      </c>
      <c r="H47" s="125">
        <v>5.9239166898529996E-2</v>
      </c>
      <c r="I47" s="126">
        <f t="shared" si="3"/>
        <v>0</v>
      </c>
      <c r="J47" s="97"/>
      <c r="K47" s="97"/>
      <c r="L47" s="71"/>
      <c r="M47" s="97"/>
      <c r="N47" s="97"/>
      <c r="O47" s="97"/>
      <c r="P47" s="117"/>
      <c r="Q47" s="71">
        <f t="shared" si="4"/>
        <v>43</v>
      </c>
      <c r="R47" s="122">
        <v>0</v>
      </c>
      <c r="V47" s="116"/>
      <c r="W47" s="116"/>
      <c r="X47" s="124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</row>
    <row r="48" spans="2:44" s="112" customFormat="1" x14ac:dyDescent="0.2">
      <c r="B48" s="118">
        <v>43223</v>
      </c>
      <c r="C48" s="119">
        <f t="shared" si="0"/>
        <v>4</v>
      </c>
      <c r="D48" s="119" t="str">
        <f t="shared" si="1"/>
        <v>JUEVES</v>
      </c>
      <c r="E48" s="105">
        <v>1.00003519</v>
      </c>
      <c r="F48" s="105">
        <v>441.1</v>
      </c>
      <c r="G48" s="104">
        <f t="shared" si="2"/>
        <v>1.1908568093643801</v>
      </c>
      <c r="H48" s="125">
        <v>5.9239166898529996E-2</v>
      </c>
      <c r="I48" s="126">
        <f t="shared" si="3"/>
        <v>0</v>
      </c>
      <c r="J48" s="97"/>
      <c r="K48" s="97"/>
      <c r="L48" s="71"/>
      <c r="M48" s="97"/>
      <c r="N48" s="97"/>
      <c r="O48" s="97"/>
      <c r="P48" s="117"/>
      <c r="Q48" s="71">
        <f t="shared" si="4"/>
        <v>44</v>
      </c>
      <c r="R48" s="122">
        <v>0</v>
      </c>
      <c r="V48" s="116"/>
      <c r="W48" s="116"/>
      <c r="X48" s="124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</row>
    <row r="49" spans="2:44" s="112" customFormat="1" x14ac:dyDescent="0.2">
      <c r="B49" s="118">
        <v>43224</v>
      </c>
      <c r="C49" s="119">
        <f t="shared" si="0"/>
        <v>5</v>
      </c>
      <c r="D49" s="119" t="str">
        <f t="shared" si="1"/>
        <v>VIERNES</v>
      </c>
      <c r="E49" s="105">
        <v>1.00003405</v>
      </c>
      <c r="F49" s="105">
        <v>440.1</v>
      </c>
      <c r="G49" s="104">
        <f t="shared" si="2"/>
        <v>1.1881570659742999</v>
      </c>
      <c r="H49" s="125">
        <v>5.9239166898529996E-2</v>
      </c>
      <c r="I49" s="126">
        <f t="shared" si="3"/>
        <v>0</v>
      </c>
      <c r="J49" s="97"/>
      <c r="K49" s="97"/>
      <c r="L49" s="71"/>
      <c r="M49" s="97"/>
      <c r="N49" s="97"/>
      <c r="O49" s="97"/>
      <c r="P49" s="117"/>
      <c r="Q49" s="71">
        <f t="shared" si="4"/>
        <v>45</v>
      </c>
      <c r="R49" s="122">
        <v>0</v>
      </c>
      <c r="V49" s="116"/>
      <c r="W49" s="116"/>
      <c r="X49" s="124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</row>
    <row r="50" spans="2:44" s="112" customFormat="1" x14ac:dyDescent="0.2">
      <c r="B50" s="118">
        <v>43227</v>
      </c>
      <c r="C50" s="119">
        <f t="shared" si="0"/>
        <v>1</v>
      </c>
      <c r="D50" s="119" t="str">
        <f t="shared" si="1"/>
        <v>LUNES</v>
      </c>
      <c r="E50" s="105">
        <v>1.0000307900000001</v>
      </c>
      <c r="F50" s="105">
        <v>437.1</v>
      </c>
      <c r="G50" s="104">
        <f t="shared" si="2"/>
        <v>1.1800578358040601</v>
      </c>
      <c r="H50" s="125">
        <v>5.9239166898529996E-2</v>
      </c>
      <c r="I50" s="126">
        <f t="shared" si="3"/>
        <v>0</v>
      </c>
      <c r="J50" s="97"/>
      <c r="K50" s="97"/>
      <c r="L50" s="71"/>
      <c r="M50" s="97"/>
      <c r="N50" s="97"/>
      <c r="O50" s="97"/>
      <c r="P50" s="117"/>
      <c r="Q50" s="71">
        <f t="shared" si="4"/>
        <v>46</v>
      </c>
      <c r="R50" s="122">
        <v>0</v>
      </c>
      <c r="V50" s="116"/>
      <c r="W50" s="116"/>
      <c r="X50" s="124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</row>
    <row r="51" spans="2:44" s="112" customFormat="1" x14ac:dyDescent="0.2">
      <c r="B51" s="118">
        <v>43228</v>
      </c>
      <c r="C51" s="119">
        <f t="shared" si="0"/>
        <v>2</v>
      </c>
      <c r="D51" s="119" t="str">
        <f t="shared" si="1"/>
        <v>MARTES</v>
      </c>
      <c r="E51" s="105">
        <v>1.0000297600000001</v>
      </c>
      <c r="F51" s="105">
        <v>436.1</v>
      </c>
      <c r="G51" s="104">
        <f t="shared" si="2"/>
        <v>1.1773580924139799</v>
      </c>
      <c r="H51" s="125">
        <v>5.9239166898529996E-2</v>
      </c>
      <c r="I51" s="126">
        <f t="shared" si="3"/>
        <v>0</v>
      </c>
      <c r="J51" s="97"/>
      <c r="K51" s="97"/>
      <c r="L51" s="71"/>
      <c r="M51" s="97"/>
      <c r="N51" s="97"/>
      <c r="O51" s="97"/>
      <c r="P51" s="117"/>
      <c r="Q51" s="71">
        <f t="shared" si="4"/>
        <v>47</v>
      </c>
      <c r="R51" s="122">
        <v>0</v>
      </c>
      <c r="V51" s="116"/>
      <c r="W51" s="116"/>
      <c r="X51" s="124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</row>
    <row r="52" spans="2:44" s="112" customFormat="1" x14ac:dyDescent="0.2">
      <c r="B52" s="118">
        <v>43229</v>
      </c>
      <c r="C52" s="119">
        <f t="shared" si="0"/>
        <v>3</v>
      </c>
      <c r="D52" s="119" t="str">
        <f t="shared" si="1"/>
        <v>MIERCOLES</v>
      </c>
      <c r="E52" s="105">
        <v>1.0000287400000001</v>
      </c>
      <c r="F52" s="105">
        <v>435.1</v>
      </c>
      <c r="G52" s="104">
        <f t="shared" si="2"/>
        <v>1.1746583490239</v>
      </c>
      <c r="H52" s="125">
        <v>5.9239166898529996E-2</v>
      </c>
      <c r="I52" s="126">
        <f t="shared" si="3"/>
        <v>0</v>
      </c>
      <c r="J52" s="97"/>
      <c r="K52" s="97"/>
      <c r="L52" s="71"/>
      <c r="M52" s="97"/>
      <c r="N52" s="97"/>
      <c r="O52" s="97"/>
      <c r="P52" s="117"/>
      <c r="Q52" s="71">
        <f t="shared" si="4"/>
        <v>48</v>
      </c>
      <c r="R52" s="122">
        <v>0</v>
      </c>
      <c r="V52" s="116"/>
      <c r="W52" s="116"/>
      <c r="X52" s="124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</row>
    <row r="53" spans="2:44" s="112" customFormat="1" x14ac:dyDescent="0.2">
      <c r="B53" s="118">
        <v>43231</v>
      </c>
      <c r="C53" s="119">
        <f t="shared" si="0"/>
        <v>5</v>
      </c>
      <c r="D53" s="119" t="str">
        <f t="shared" si="1"/>
        <v>VIERNES</v>
      </c>
      <c r="E53" s="105">
        <v>1.0000267899999999</v>
      </c>
      <c r="F53" s="105">
        <v>433.1</v>
      </c>
      <c r="G53" s="104">
        <f t="shared" si="2"/>
        <v>1.1692588622437401</v>
      </c>
      <c r="H53" s="125">
        <v>5.9239166898529996E-2</v>
      </c>
      <c r="I53" s="126">
        <f t="shared" si="3"/>
        <v>0</v>
      </c>
      <c r="J53" s="97"/>
      <c r="K53" s="97"/>
      <c r="L53" s="71"/>
      <c r="M53" s="97"/>
      <c r="N53" s="97"/>
      <c r="O53" s="97"/>
      <c r="P53" s="117"/>
      <c r="Q53" s="71">
        <f t="shared" si="4"/>
        <v>49</v>
      </c>
      <c r="R53" s="122">
        <v>0</v>
      </c>
      <c r="V53" s="116"/>
      <c r="W53" s="116"/>
      <c r="X53" s="124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</row>
    <row r="54" spans="2:44" s="112" customFormat="1" x14ac:dyDescent="0.2">
      <c r="B54" s="118">
        <v>43234</v>
      </c>
      <c r="C54" s="119">
        <f t="shared" si="0"/>
        <v>1</v>
      </c>
      <c r="D54" s="119" t="str">
        <f t="shared" si="1"/>
        <v>LUNES</v>
      </c>
      <c r="E54" s="105">
        <v>1.0000240499999999</v>
      </c>
      <c r="F54" s="105">
        <v>430.1</v>
      </c>
      <c r="G54" s="104">
        <f t="shared" si="2"/>
        <v>1.1611596320735</v>
      </c>
      <c r="H54" s="125">
        <v>5.9239166898529996E-2</v>
      </c>
      <c r="I54" s="126">
        <f t="shared" si="3"/>
        <v>0</v>
      </c>
      <c r="J54" s="97"/>
      <c r="K54" s="97"/>
      <c r="L54" s="71"/>
      <c r="M54" s="97"/>
      <c r="N54" s="97"/>
      <c r="O54" s="97"/>
      <c r="P54" s="117"/>
      <c r="Q54" s="71">
        <f t="shared" si="4"/>
        <v>50</v>
      </c>
      <c r="R54" s="122">
        <v>0</v>
      </c>
      <c r="V54" s="116"/>
      <c r="W54" s="116"/>
      <c r="X54" s="124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</row>
    <row r="55" spans="2:44" s="112" customFormat="1" x14ac:dyDescent="0.2">
      <c r="B55" s="118">
        <v>43235</v>
      </c>
      <c r="C55" s="119">
        <f t="shared" si="0"/>
        <v>2</v>
      </c>
      <c r="D55" s="119" t="str">
        <f t="shared" si="1"/>
        <v>MARTES</v>
      </c>
      <c r="E55" s="105">
        <v>1.0000231900000001</v>
      </c>
      <c r="F55" s="105">
        <v>429.1</v>
      </c>
      <c r="G55" s="104">
        <f t="shared" si="2"/>
        <v>1.1584598886834201</v>
      </c>
      <c r="H55" s="125">
        <v>5.9239166898529996E-2</v>
      </c>
      <c r="I55" s="126">
        <f t="shared" si="3"/>
        <v>0</v>
      </c>
      <c r="J55" s="97"/>
      <c r="K55" s="97"/>
      <c r="L55" s="71"/>
      <c r="M55" s="97"/>
      <c r="N55" s="97"/>
      <c r="O55" s="97"/>
      <c r="P55" s="117"/>
      <c r="Q55" s="71">
        <f t="shared" si="4"/>
        <v>51</v>
      </c>
      <c r="R55" s="122">
        <v>0</v>
      </c>
      <c r="V55" s="116"/>
      <c r="W55" s="116"/>
      <c r="X55" s="124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</row>
    <row r="56" spans="2:44" s="112" customFormat="1" x14ac:dyDescent="0.2">
      <c r="B56" s="118">
        <v>43236</v>
      </c>
      <c r="C56" s="119">
        <f t="shared" si="0"/>
        <v>3</v>
      </c>
      <c r="D56" s="119" t="str">
        <f t="shared" si="1"/>
        <v>MIERCOLES</v>
      </c>
      <c r="E56" s="105">
        <v>1.0000223399999999</v>
      </c>
      <c r="F56" s="105">
        <v>428.1</v>
      </c>
      <c r="G56" s="104">
        <f t="shared" si="2"/>
        <v>1.1557601452933399</v>
      </c>
      <c r="H56" s="125">
        <v>5.9239166898529996E-2</v>
      </c>
      <c r="I56" s="126">
        <f t="shared" si="3"/>
        <v>0</v>
      </c>
      <c r="J56" s="97"/>
      <c r="K56" s="97"/>
      <c r="L56" s="71"/>
      <c r="M56" s="97"/>
      <c r="N56" s="97"/>
      <c r="O56" s="97"/>
      <c r="P56" s="117"/>
      <c r="Q56" s="71">
        <f t="shared" si="4"/>
        <v>52</v>
      </c>
      <c r="R56" s="122">
        <v>0</v>
      </c>
      <c r="V56" s="116"/>
      <c r="W56" s="116"/>
      <c r="X56" s="124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</row>
    <row r="57" spans="2:44" s="112" customFormat="1" x14ac:dyDescent="0.2">
      <c r="B57" s="118">
        <v>43237</v>
      </c>
      <c r="C57" s="119">
        <f t="shared" si="0"/>
        <v>4</v>
      </c>
      <c r="D57" s="119" t="str">
        <f t="shared" si="1"/>
        <v>JUEVES</v>
      </c>
      <c r="E57" s="105">
        <v>1.0000215400000001</v>
      </c>
      <c r="F57" s="105">
        <v>427.1</v>
      </c>
      <c r="G57" s="104">
        <f t="shared" si="2"/>
        <v>1.15306040190326</v>
      </c>
      <c r="H57" s="125">
        <v>5.9239166898529996E-2</v>
      </c>
      <c r="I57" s="126">
        <f t="shared" si="3"/>
        <v>0</v>
      </c>
      <c r="J57" s="97"/>
      <c r="K57" s="97"/>
      <c r="L57" s="71"/>
      <c r="M57" s="97"/>
      <c r="N57" s="97"/>
      <c r="O57" s="97"/>
      <c r="P57" s="117"/>
      <c r="Q57" s="71">
        <f t="shared" si="4"/>
        <v>53</v>
      </c>
      <c r="R57" s="122">
        <v>0</v>
      </c>
      <c r="V57" s="116"/>
      <c r="W57" s="116"/>
      <c r="X57" s="124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</row>
    <row r="58" spans="2:44" s="112" customFormat="1" x14ac:dyDescent="0.2">
      <c r="B58" s="118">
        <v>43238</v>
      </c>
      <c r="C58" s="119">
        <f t="shared" si="0"/>
        <v>5</v>
      </c>
      <c r="D58" s="119" t="str">
        <f t="shared" si="1"/>
        <v>VIERNES</v>
      </c>
      <c r="E58" s="105">
        <v>1.00002075</v>
      </c>
      <c r="F58" s="105">
        <v>426.1</v>
      </c>
      <c r="G58" s="104">
        <f t="shared" si="2"/>
        <v>1.15036065851318</v>
      </c>
      <c r="H58" s="125">
        <v>5.9239166898529996E-2</v>
      </c>
      <c r="I58" s="126">
        <f t="shared" si="3"/>
        <v>0</v>
      </c>
      <c r="J58" s="97"/>
      <c r="K58" s="97"/>
      <c r="L58" s="71"/>
      <c r="M58" s="97"/>
      <c r="N58" s="97"/>
      <c r="O58" s="97"/>
      <c r="P58" s="117"/>
      <c r="Q58" s="71">
        <f t="shared" si="4"/>
        <v>54</v>
      </c>
      <c r="R58" s="122">
        <v>0</v>
      </c>
      <c r="V58" s="116"/>
      <c r="W58" s="116"/>
      <c r="X58" s="124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</row>
    <row r="59" spans="2:44" s="112" customFormat="1" x14ac:dyDescent="0.2">
      <c r="B59" s="118">
        <v>43241</v>
      </c>
      <c r="C59" s="119">
        <f t="shared" si="0"/>
        <v>1</v>
      </c>
      <c r="D59" s="119" t="str">
        <f t="shared" si="1"/>
        <v>LUNES</v>
      </c>
      <c r="E59" s="105">
        <v>1.00001853</v>
      </c>
      <c r="F59" s="105">
        <v>423.1</v>
      </c>
      <c r="G59" s="104">
        <f t="shared" si="2"/>
        <v>1.14226142834294</v>
      </c>
      <c r="H59" s="125">
        <v>5.9239166898529996E-2</v>
      </c>
      <c r="I59" s="126">
        <f t="shared" si="3"/>
        <v>0</v>
      </c>
      <c r="J59" s="97"/>
      <c r="K59" s="97"/>
      <c r="L59" s="71"/>
      <c r="M59" s="97"/>
      <c r="N59" s="97"/>
      <c r="O59" s="97"/>
      <c r="P59" s="117"/>
      <c r="Q59" s="71">
        <f t="shared" si="4"/>
        <v>55</v>
      </c>
      <c r="R59" s="122">
        <v>0</v>
      </c>
      <c r="V59" s="116"/>
      <c r="W59" s="116"/>
      <c r="X59" s="124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</row>
    <row r="60" spans="2:44" s="112" customFormat="1" x14ac:dyDescent="0.2">
      <c r="B60" s="118">
        <v>43242</v>
      </c>
      <c r="C60" s="119">
        <f t="shared" si="0"/>
        <v>2</v>
      </c>
      <c r="D60" s="119" t="str">
        <f t="shared" si="1"/>
        <v>MARTES</v>
      </c>
      <c r="E60" s="105">
        <v>1.0000178399999999</v>
      </c>
      <c r="F60" s="105">
        <v>422.1</v>
      </c>
      <c r="G60" s="104">
        <f t="shared" si="2"/>
        <v>1.13956168495286</v>
      </c>
      <c r="H60" s="125">
        <v>5.9239166898529996E-2</v>
      </c>
      <c r="I60" s="126">
        <f t="shared" si="3"/>
        <v>0</v>
      </c>
      <c r="J60" s="97"/>
      <c r="K60" s="97"/>
      <c r="L60" s="71"/>
      <c r="M60" s="97"/>
      <c r="N60" s="97"/>
      <c r="O60" s="97"/>
      <c r="P60" s="117"/>
      <c r="Q60" s="71">
        <f t="shared" si="4"/>
        <v>56</v>
      </c>
      <c r="R60" s="122">
        <v>0</v>
      </c>
      <c r="V60" s="116"/>
      <c r="W60" s="116"/>
      <c r="X60" s="124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</row>
    <row r="61" spans="2:44" s="112" customFormat="1" x14ac:dyDescent="0.2">
      <c r="B61" s="118">
        <v>43243</v>
      </c>
      <c r="C61" s="119">
        <f t="shared" si="0"/>
        <v>3</v>
      </c>
      <c r="D61" s="119" t="str">
        <f t="shared" si="1"/>
        <v>MIERCOLES</v>
      </c>
      <c r="E61" s="105">
        <v>1.00001718</v>
      </c>
      <c r="F61" s="105">
        <v>421.1</v>
      </c>
      <c r="G61" s="104">
        <f t="shared" si="2"/>
        <v>1.1368619415627801</v>
      </c>
      <c r="H61" s="125">
        <v>5.9239166898529996E-2</v>
      </c>
      <c r="I61" s="126">
        <f t="shared" si="3"/>
        <v>0</v>
      </c>
      <c r="J61" s="97"/>
      <c r="K61" s="97"/>
      <c r="L61" s="71"/>
      <c r="M61" s="97"/>
      <c r="N61" s="97"/>
      <c r="O61" s="97"/>
      <c r="P61" s="117"/>
      <c r="Q61" s="71">
        <f t="shared" si="4"/>
        <v>57</v>
      </c>
      <c r="R61" s="122">
        <v>0</v>
      </c>
      <c r="V61" s="116"/>
      <c r="W61" s="116"/>
      <c r="X61" s="124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</row>
    <row r="62" spans="2:44" s="112" customFormat="1" x14ac:dyDescent="0.2">
      <c r="B62" s="118">
        <v>43244</v>
      </c>
      <c r="C62" s="119">
        <f t="shared" si="0"/>
        <v>4</v>
      </c>
      <c r="D62" s="119" t="str">
        <f t="shared" si="1"/>
        <v>JUEVES</v>
      </c>
      <c r="E62" s="105">
        <v>1.0000165400000001</v>
      </c>
      <c r="F62" s="105">
        <v>420.1</v>
      </c>
      <c r="G62" s="104">
        <f t="shared" si="2"/>
        <v>1.1341621981726999</v>
      </c>
      <c r="H62" s="125">
        <v>5.9239166898529996E-2</v>
      </c>
      <c r="I62" s="126">
        <f t="shared" si="3"/>
        <v>0</v>
      </c>
      <c r="J62" s="97"/>
      <c r="K62" s="97"/>
      <c r="L62" s="71"/>
      <c r="M62" s="97"/>
      <c r="N62" s="97"/>
      <c r="O62" s="97"/>
      <c r="P62" s="117"/>
      <c r="Q62" s="71">
        <f t="shared" si="4"/>
        <v>58</v>
      </c>
      <c r="R62" s="122">
        <v>0</v>
      </c>
      <c r="V62" s="116"/>
      <c r="W62" s="116"/>
      <c r="X62" s="124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</row>
    <row r="63" spans="2:44" s="112" customFormat="1" x14ac:dyDescent="0.2">
      <c r="B63" s="118">
        <v>43245</v>
      </c>
      <c r="C63" s="119">
        <f t="shared" si="0"/>
        <v>5</v>
      </c>
      <c r="D63" s="119" t="str">
        <f t="shared" si="1"/>
        <v>VIERNES</v>
      </c>
      <c r="E63" s="105">
        <v>1.00001593</v>
      </c>
      <c r="F63" s="105">
        <v>419.1</v>
      </c>
      <c r="G63" s="104">
        <f t="shared" si="2"/>
        <v>1.13146245478262</v>
      </c>
      <c r="H63" s="125">
        <v>5.9239166898529996E-2</v>
      </c>
      <c r="I63" s="126">
        <f t="shared" si="3"/>
        <v>0</v>
      </c>
      <c r="J63" s="97"/>
      <c r="K63" s="97"/>
      <c r="L63" s="71"/>
      <c r="M63" s="97"/>
      <c r="N63" s="97"/>
      <c r="O63" s="97"/>
      <c r="P63" s="117"/>
      <c r="Q63" s="71">
        <f t="shared" si="4"/>
        <v>59</v>
      </c>
      <c r="R63" s="122">
        <v>0</v>
      </c>
      <c r="V63" s="116"/>
      <c r="W63" s="116"/>
      <c r="X63" s="124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</row>
    <row r="64" spans="2:44" s="112" customFormat="1" x14ac:dyDescent="0.2">
      <c r="B64" s="118">
        <v>43248</v>
      </c>
      <c r="C64" s="119">
        <f t="shared" si="0"/>
        <v>1</v>
      </c>
      <c r="D64" s="119" t="str">
        <f t="shared" si="1"/>
        <v>LUNES</v>
      </c>
      <c r="E64" s="105">
        <v>1.0000142299999999</v>
      </c>
      <c r="F64" s="105">
        <v>416.1</v>
      </c>
      <c r="G64" s="104">
        <f t="shared" si="2"/>
        <v>1.1233632246123799</v>
      </c>
      <c r="H64" s="125">
        <v>5.9239166898529996E-2</v>
      </c>
      <c r="I64" s="126">
        <f t="shared" si="3"/>
        <v>0</v>
      </c>
      <c r="J64" s="97"/>
      <c r="K64" s="97"/>
      <c r="L64" s="71"/>
      <c r="M64" s="97"/>
      <c r="N64" s="97"/>
      <c r="O64" s="97"/>
      <c r="P64" s="117"/>
      <c r="Q64" s="71">
        <f t="shared" si="4"/>
        <v>60</v>
      </c>
      <c r="R64" s="122">
        <v>0</v>
      </c>
      <c r="V64" s="116"/>
      <c r="W64" s="116"/>
      <c r="X64" s="124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</row>
    <row r="65" spans="2:44" s="112" customFormat="1" x14ac:dyDescent="0.2">
      <c r="B65" s="118">
        <v>43249</v>
      </c>
      <c r="C65" s="119">
        <f t="shared" si="0"/>
        <v>2</v>
      </c>
      <c r="D65" s="119" t="str">
        <f t="shared" si="1"/>
        <v>MARTES</v>
      </c>
      <c r="E65" s="105">
        <v>1.0000137200000001</v>
      </c>
      <c r="F65" s="105">
        <v>415.1</v>
      </c>
      <c r="G65" s="104">
        <f t="shared" si="2"/>
        <v>1.1206634812223</v>
      </c>
      <c r="H65" s="125">
        <v>5.9239166898529996E-2</v>
      </c>
      <c r="I65" s="126">
        <f t="shared" si="3"/>
        <v>0</v>
      </c>
      <c r="J65" s="97"/>
      <c r="K65" s="97"/>
      <c r="L65" s="71"/>
      <c r="M65" s="97"/>
      <c r="N65" s="97"/>
      <c r="O65" s="97"/>
      <c r="P65" s="117"/>
      <c r="Q65" s="71">
        <f t="shared" si="4"/>
        <v>61</v>
      </c>
      <c r="R65" s="122">
        <v>0</v>
      </c>
      <c r="V65" s="116"/>
      <c r="W65" s="116"/>
      <c r="X65" s="124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</row>
    <row r="66" spans="2:44" s="112" customFormat="1" x14ac:dyDescent="0.2">
      <c r="B66" s="118">
        <v>43250</v>
      </c>
      <c r="C66" s="119">
        <f t="shared" si="0"/>
        <v>3</v>
      </c>
      <c r="D66" s="119" t="str">
        <f t="shared" si="1"/>
        <v>MIERCOLES</v>
      </c>
      <c r="E66" s="105">
        <v>1.00001323</v>
      </c>
      <c r="F66" s="105">
        <v>414.1</v>
      </c>
      <c r="G66" s="104">
        <f t="shared" si="2"/>
        <v>1.11796373783222</v>
      </c>
      <c r="H66" s="125">
        <v>5.9239166898529996E-2</v>
      </c>
      <c r="I66" s="126">
        <f t="shared" si="3"/>
        <v>0</v>
      </c>
      <c r="J66" s="97"/>
      <c r="K66" s="97"/>
      <c r="L66" s="71"/>
      <c r="M66" s="97"/>
      <c r="N66" s="97"/>
      <c r="O66" s="97"/>
      <c r="P66" s="117"/>
      <c r="Q66" s="71">
        <f t="shared" si="4"/>
        <v>62</v>
      </c>
      <c r="R66" s="122">
        <v>0</v>
      </c>
      <c r="V66" s="116"/>
      <c r="W66" s="116"/>
      <c r="X66" s="124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</row>
    <row r="67" spans="2:44" s="112" customFormat="1" x14ac:dyDescent="0.2">
      <c r="B67" s="118">
        <v>43251</v>
      </c>
      <c r="C67" s="119">
        <f t="shared" si="0"/>
        <v>4</v>
      </c>
      <c r="D67" s="119" t="str">
        <f t="shared" si="1"/>
        <v>JUEVES</v>
      </c>
      <c r="E67" s="105">
        <v>1.0000127599999999</v>
      </c>
      <c r="F67" s="105">
        <v>413.1</v>
      </c>
      <c r="G67" s="104">
        <f t="shared" si="2"/>
        <v>1.1152639944421401</v>
      </c>
      <c r="H67" s="125">
        <v>5.9239166898529996E-2</v>
      </c>
      <c r="I67" s="126">
        <f t="shared" si="3"/>
        <v>0</v>
      </c>
      <c r="J67" s="97"/>
      <c r="K67" s="97"/>
      <c r="L67" s="71"/>
      <c r="M67" s="97"/>
      <c r="N67" s="97"/>
      <c r="O67" s="97"/>
      <c r="P67" s="117"/>
      <c r="Q67" s="71">
        <f t="shared" si="4"/>
        <v>63</v>
      </c>
      <c r="R67" s="122">
        <v>0</v>
      </c>
      <c r="V67" s="116"/>
      <c r="W67" s="116"/>
      <c r="X67" s="124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</row>
    <row r="68" spans="2:44" s="112" customFormat="1" x14ac:dyDescent="0.2">
      <c r="B68" s="118">
        <v>43252</v>
      </c>
      <c r="C68" s="119">
        <f t="shared" si="0"/>
        <v>5</v>
      </c>
      <c r="D68" s="119" t="str">
        <f t="shared" si="1"/>
        <v>VIERNES</v>
      </c>
      <c r="E68" s="105">
        <v>1.00001239</v>
      </c>
      <c r="F68" s="105">
        <v>412.1</v>
      </c>
      <c r="G68" s="104">
        <f t="shared" si="2"/>
        <v>1.11256426787364</v>
      </c>
      <c r="H68" s="125">
        <v>5.9239105524239999E-2</v>
      </c>
      <c r="I68" s="126">
        <f t="shared" si="3"/>
        <v>-1.0360429594300001E-6</v>
      </c>
      <c r="J68" s="97"/>
      <c r="K68" s="97"/>
      <c r="L68" s="71"/>
      <c r="M68" s="97"/>
      <c r="N68" s="97"/>
      <c r="O68" s="97"/>
      <c r="P68" s="117"/>
      <c r="Q68" s="71">
        <f t="shared" si="4"/>
        <v>64</v>
      </c>
      <c r="R68" s="122">
        <v>0</v>
      </c>
      <c r="V68" s="116"/>
      <c r="W68" s="116"/>
      <c r="X68" s="124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</row>
    <row r="69" spans="2:44" s="112" customFormat="1" x14ac:dyDescent="0.2">
      <c r="B69" s="118">
        <v>43255</v>
      </c>
      <c r="C69" s="119">
        <f t="shared" ref="C69:C132" si="5">WEEKDAY(B69,2)</f>
        <v>1</v>
      </c>
      <c r="D69" s="119" t="str">
        <f t="shared" ref="D69:D132" si="6">VLOOKUP(C69,$Y$5:$Z$11,2,0)</f>
        <v>LUNES</v>
      </c>
      <c r="E69" s="105">
        <v>1.0000112299999999</v>
      </c>
      <c r="F69" s="105">
        <v>409.1</v>
      </c>
      <c r="G69" s="104">
        <f t="shared" ref="G69:G132" si="7">ROUND((F69/365)/(1+(H69/4)),$F$1)</f>
        <v>1.1044650375809499</v>
      </c>
      <c r="H69" s="125">
        <v>5.9239105524239999E-2</v>
      </c>
      <c r="I69" s="126">
        <f t="shared" si="3"/>
        <v>0</v>
      </c>
      <c r="J69" s="97"/>
      <c r="K69" s="97"/>
      <c r="L69" s="71"/>
      <c r="M69" s="97"/>
      <c r="N69" s="97"/>
      <c r="O69" s="97"/>
      <c r="P69" s="117"/>
      <c r="Q69" s="71">
        <f t="shared" si="4"/>
        <v>65</v>
      </c>
      <c r="R69" s="122">
        <v>0</v>
      </c>
      <c r="V69" s="116"/>
      <c r="W69" s="116"/>
      <c r="X69" s="124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</row>
    <row r="70" spans="2:44" s="112" customFormat="1" x14ac:dyDescent="0.2">
      <c r="B70" s="118">
        <v>43256</v>
      </c>
      <c r="C70" s="119">
        <f t="shared" si="5"/>
        <v>2</v>
      </c>
      <c r="D70" s="119" t="str">
        <f t="shared" si="6"/>
        <v>MARTES</v>
      </c>
      <c r="E70" s="105">
        <v>1.00001088</v>
      </c>
      <c r="F70" s="105">
        <v>408.1</v>
      </c>
      <c r="G70" s="104">
        <f t="shared" si="7"/>
        <v>1.10176529415005</v>
      </c>
      <c r="H70" s="125">
        <v>5.9239105524239999E-2</v>
      </c>
      <c r="I70" s="126">
        <f t="shared" ref="I70:I133" si="8">ROUND(LN(H70/H69),$F$1)</f>
        <v>0</v>
      </c>
      <c r="J70" s="97"/>
      <c r="K70" s="97"/>
      <c r="L70" s="71"/>
      <c r="M70" s="97"/>
      <c r="N70" s="97"/>
      <c r="O70" s="97"/>
      <c r="P70" s="117"/>
      <c r="Q70" s="71">
        <f t="shared" ref="Q70:Q133" si="9">Q69+1</f>
        <v>66</v>
      </c>
      <c r="R70" s="122">
        <v>0</v>
      </c>
      <c r="V70" s="116"/>
      <c r="W70" s="116"/>
      <c r="X70" s="124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</row>
    <row r="71" spans="2:44" s="112" customFormat="1" x14ac:dyDescent="0.2">
      <c r="B71" s="118">
        <v>43257</v>
      </c>
      <c r="C71" s="119">
        <f t="shared" si="5"/>
        <v>3</v>
      </c>
      <c r="D71" s="119" t="str">
        <f t="shared" si="6"/>
        <v>MIERCOLES</v>
      </c>
      <c r="E71" s="105">
        <v>1.0000105699999999</v>
      </c>
      <c r="F71" s="105">
        <v>407.1</v>
      </c>
      <c r="G71" s="104">
        <f t="shared" si="7"/>
        <v>1.09906555071915</v>
      </c>
      <c r="H71" s="125">
        <v>5.9239105524239999E-2</v>
      </c>
      <c r="I71" s="126">
        <f t="shared" si="8"/>
        <v>0</v>
      </c>
      <c r="J71" s="97"/>
      <c r="K71" s="97"/>
      <c r="L71" s="71"/>
      <c r="M71" s="97"/>
      <c r="N71" s="97"/>
      <c r="O71" s="97"/>
      <c r="P71" s="117"/>
      <c r="Q71" s="71">
        <f t="shared" si="9"/>
        <v>67</v>
      </c>
      <c r="R71" s="122">
        <v>0</v>
      </c>
      <c r="V71" s="116"/>
      <c r="W71" s="116"/>
      <c r="X71" s="124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</row>
    <row r="72" spans="2:44" s="112" customFormat="1" x14ac:dyDescent="0.2">
      <c r="B72" s="118">
        <v>43258</v>
      </c>
      <c r="C72" s="119">
        <f t="shared" si="5"/>
        <v>4</v>
      </c>
      <c r="D72" s="119" t="str">
        <f t="shared" si="6"/>
        <v>JUEVES</v>
      </c>
      <c r="E72" s="105">
        <v>1.0000102799999999</v>
      </c>
      <c r="F72" s="105">
        <v>406.1</v>
      </c>
      <c r="G72" s="104">
        <f t="shared" si="7"/>
        <v>1.0963658072882501</v>
      </c>
      <c r="H72" s="125">
        <v>5.9239105524239999E-2</v>
      </c>
      <c r="I72" s="126">
        <f t="shared" si="8"/>
        <v>0</v>
      </c>
      <c r="J72" s="97"/>
      <c r="K72" s="97"/>
      <c r="L72" s="71"/>
      <c r="M72" s="97"/>
      <c r="N72" s="97"/>
      <c r="O72" s="97"/>
      <c r="P72" s="117"/>
      <c r="Q72" s="71">
        <f t="shared" si="9"/>
        <v>68</v>
      </c>
      <c r="R72" s="122">
        <v>0</v>
      </c>
      <c r="V72" s="116"/>
      <c r="W72" s="116"/>
      <c r="X72" s="124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</row>
    <row r="73" spans="2:44" s="112" customFormat="1" x14ac:dyDescent="0.2">
      <c r="B73" s="118">
        <v>43259</v>
      </c>
      <c r="C73" s="119">
        <f t="shared" si="5"/>
        <v>5</v>
      </c>
      <c r="D73" s="119" t="str">
        <f t="shared" si="6"/>
        <v>VIERNES</v>
      </c>
      <c r="E73" s="105">
        <v>1.0000100199999999</v>
      </c>
      <c r="F73" s="105">
        <v>405.1</v>
      </c>
      <c r="G73" s="104">
        <f t="shared" si="7"/>
        <v>1.0936660638573501</v>
      </c>
      <c r="H73" s="125">
        <v>5.9239105524239999E-2</v>
      </c>
      <c r="I73" s="126">
        <f t="shared" si="8"/>
        <v>0</v>
      </c>
      <c r="J73" s="97"/>
      <c r="K73" s="97"/>
      <c r="L73" s="71"/>
      <c r="M73" s="97"/>
      <c r="N73" s="97"/>
      <c r="O73" s="97"/>
      <c r="P73" s="117"/>
      <c r="Q73" s="71">
        <f t="shared" si="9"/>
        <v>69</v>
      </c>
      <c r="R73" s="122">
        <v>0</v>
      </c>
      <c r="V73" s="116"/>
      <c r="W73" s="116"/>
      <c r="X73" s="124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</row>
    <row r="74" spans="2:44" s="112" customFormat="1" x14ac:dyDescent="0.2">
      <c r="B74" s="118">
        <v>43262</v>
      </c>
      <c r="C74" s="119">
        <f t="shared" si="5"/>
        <v>1</v>
      </c>
      <c r="D74" s="119" t="str">
        <f t="shared" si="6"/>
        <v>LUNES</v>
      </c>
      <c r="E74" s="105">
        <v>1.0000093699999999</v>
      </c>
      <c r="F74" s="105">
        <v>402.1</v>
      </c>
      <c r="G74" s="104">
        <f t="shared" si="7"/>
        <v>1.08556683356465</v>
      </c>
      <c r="H74" s="125">
        <v>5.9239105524239999E-2</v>
      </c>
      <c r="I74" s="126">
        <f t="shared" si="8"/>
        <v>0</v>
      </c>
      <c r="J74" s="97"/>
      <c r="K74" s="97"/>
      <c r="L74" s="71"/>
      <c r="M74" s="97"/>
      <c r="N74" s="97"/>
      <c r="O74" s="97"/>
      <c r="P74" s="117"/>
      <c r="Q74" s="71">
        <f t="shared" si="9"/>
        <v>70</v>
      </c>
      <c r="R74" s="122">
        <v>0</v>
      </c>
      <c r="V74" s="116"/>
      <c r="W74" s="116"/>
      <c r="X74" s="124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</row>
    <row r="75" spans="2:44" s="112" customFormat="1" x14ac:dyDescent="0.2">
      <c r="B75" s="118">
        <v>43263</v>
      </c>
      <c r="C75" s="119">
        <f t="shared" si="5"/>
        <v>2</v>
      </c>
      <c r="D75" s="119" t="str">
        <f t="shared" si="6"/>
        <v>MARTES</v>
      </c>
      <c r="E75" s="105">
        <v>1.0000092</v>
      </c>
      <c r="F75" s="105">
        <v>401.1</v>
      </c>
      <c r="G75" s="104">
        <f t="shared" si="7"/>
        <v>1.08286709013375</v>
      </c>
      <c r="H75" s="125">
        <v>5.9239105524239999E-2</v>
      </c>
      <c r="I75" s="126">
        <f t="shared" si="8"/>
        <v>0</v>
      </c>
      <c r="J75" s="97"/>
      <c r="K75" s="97"/>
      <c r="L75" s="71"/>
      <c r="M75" s="97"/>
      <c r="N75" s="97"/>
      <c r="O75" s="97"/>
      <c r="P75" s="117"/>
      <c r="Q75" s="71">
        <f t="shared" si="9"/>
        <v>71</v>
      </c>
      <c r="R75" s="122">
        <v>0</v>
      </c>
      <c r="V75" s="116"/>
      <c r="W75" s="116"/>
      <c r="X75" s="124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</row>
    <row r="76" spans="2:44" s="112" customFormat="1" x14ac:dyDescent="0.2">
      <c r="B76" s="118">
        <v>43264</v>
      </c>
      <c r="C76" s="119">
        <f t="shared" si="5"/>
        <v>3</v>
      </c>
      <c r="D76" s="119" t="str">
        <f t="shared" si="6"/>
        <v>MIERCOLES</v>
      </c>
      <c r="E76" s="105">
        <v>1.0000090699999999</v>
      </c>
      <c r="F76" s="105">
        <v>400.1</v>
      </c>
      <c r="G76" s="104">
        <f t="shared" si="7"/>
        <v>1.0801673467028501</v>
      </c>
      <c r="H76" s="125">
        <v>5.9239105524239999E-2</v>
      </c>
      <c r="I76" s="126">
        <f t="shared" si="8"/>
        <v>0</v>
      </c>
      <c r="J76" s="97"/>
      <c r="K76" s="97"/>
      <c r="L76" s="71"/>
      <c r="M76" s="97"/>
      <c r="N76" s="97"/>
      <c r="O76" s="97"/>
      <c r="P76" s="117"/>
      <c r="Q76" s="71">
        <f t="shared" si="9"/>
        <v>72</v>
      </c>
      <c r="R76" s="122">
        <v>0</v>
      </c>
      <c r="V76" s="116"/>
      <c r="W76" s="116"/>
      <c r="X76" s="124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</row>
    <row r="77" spans="2:44" s="112" customFormat="1" x14ac:dyDescent="0.2">
      <c r="B77" s="118">
        <v>43265</v>
      </c>
      <c r="C77" s="119">
        <f t="shared" si="5"/>
        <v>4</v>
      </c>
      <c r="D77" s="119" t="str">
        <f t="shared" si="6"/>
        <v>JUEVES</v>
      </c>
      <c r="E77" s="105">
        <v>1.0000089599999999</v>
      </c>
      <c r="F77" s="105">
        <v>399.1</v>
      </c>
      <c r="G77" s="104">
        <f t="shared" si="7"/>
        <v>1.0774676032719499</v>
      </c>
      <c r="H77" s="125">
        <v>5.9239105524239999E-2</v>
      </c>
      <c r="I77" s="126">
        <f t="shared" si="8"/>
        <v>0</v>
      </c>
      <c r="J77" s="97"/>
      <c r="K77" s="97"/>
      <c r="L77" s="71"/>
      <c r="M77" s="97"/>
      <c r="N77" s="97"/>
      <c r="O77" s="97"/>
      <c r="P77" s="117"/>
      <c r="Q77" s="71">
        <f t="shared" si="9"/>
        <v>73</v>
      </c>
      <c r="R77" s="122">
        <v>0</v>
      </c>
      <c r="V77" s="116"/>
      <c r="W77" s="116"/>
      <c r="X77" s="124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</row>
    <row r="78" spans="2:44" s="112" customFormat="1" x14ac:dyDescent="0.2">
      <c r="B78" s="118">
        <v>43266</v>
      </c>
      <c r="C78" s="119">
        <f t="shared" si="5"/>
        <v>5</v>
      </c>
      <c r="D78" s="119" t="str">
        <f t="shared" si="6"/>
        <v>VIERNES</v>
      </c>
      <c r="E78" s="105">
        <v>1.0000088600000001</v>
      </c>
      <c r="F78" s="105">
        <v>398.1</v>
      </c>
      <c r="G78" s="104">
        <f t="shared" si="7"/>
        <v>1.0747678598410499</v>
      </c>
      <c r="H78" s="125">
        <v>5.9239105524239999E-2</v>
      </c>
      <c r="I78" s="126">
        <f t="shared" si="8"/>
        <v>0</v>
      </c>
      <c r="J78" s="97"/>
      <c r="K78" s="97"/>
      <c r="L78" s="71"/>
      <c r="M78" s="97"/>
      <c r="N78" s="97"/>
      <c r="O78" s="97"/>
      <c r="P78" s="117"/>
      <c r="Q78" s="71">
        <f t="shared" si="9"/>
        <v>74</v>
      </c>
      <c r="R78" s="122">
        <v>0</v>
      </c>
      <c r="V78" s="116"/>
      <c r="W78" s="116"/>
      <c r="X78" s="124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</row>
    <row r="79" spans="2:44" s="112" customFormat="1" x14ac:dyDescent="0.2">
      <c r="B79" s="118">
        <v>43396</v>
      </c>
      <c r="C79" s="119">
        <f t="shared" si="5"/>
        <v>2</v>
      </c>
      <c r="D79" s="119" t="str">
        <f t="shared" si="6"/>
        <v>MARTES</v>
      </c>
      <c r="E79" s="105">
        <v>1.0033793200000001</v>
      </c>
      <c r="F79" s="105">
        <v>273.29000000000002</v>
      </c>
      <c r="G79" s="104">
        <f t="shared" si="7"/>
        <v>0.73866382645096396</v>
      </c>
      <c r="H79" s="125">
        <v>5.4562842882640003E-2</v>
      </c>
      <c r="I79" s="126">
        <f t="shared" si="8"/>
        <v>-8.2228772301928196E-2</v>
      </c>
      <c r="J79" s="97"/>
      <c r="K79" s="97"/>
      <c r="L79" s="71"/>
      <c r="M79" s="97"/>
      <c r="N79" s="97"/>
      <c r="O79" s="97"/>
      <c r="P79" s="117"/>
      <c r="Q79" s="71">
        <f t="shared" si="9"/>
        <v>75</v>
      </c>
      <c r="R79" s="122">
        <v>0</v>
      </c>
      <c r="V79" s="116"/>
      <c r="W79" s="116"/>
      <c r="X79" s="124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</row>
    <row r="80" spans="2:44" s="112" customFormat="1" x14ac:dyDescent="0.2">
      <c r="B80" s="118">
        <v>43270</v>
      </c>
      <c r="C80" s="119">
        <f t="shared" si="5"/>
        <v>2</v>
      </c>
      <c r="D80" s="119" t="str">
        <f t="shared" si="6"/>
        <v>MARTES</v>
      </c>
      <c r="E80" s="105">
        <v>1.0000087499999999</v>
      </c>
      <c r="F80" s="105">
        <v>394.1</v>
      </c>
      <c r="G80" s="104">
        <f t="shared" si="7"/>
        <v>1.0639688861174601</v>
      </c>
      <c r="H80" s="125">
        <v>5.9239105524239999E-2</v>
      </c>
      <c r="I80" s="126">
        <f t="shared" si="8"/>
        <v>8.2228772301928099E-2</v>
      </c>
      <c r="J80" s="97"/>
      <c r="K80" s="97"/>
      <c r="L80" s="71"/>
      <c r="M80" s="97"/>
      <c r="N80" s="97"/>
      <c r="O80" s="97"/>
      <c r="P80" s="117"/>
      <c r="Q80" s="71">
        <f t="shared" si="9"/>
        <v>76</v>
      </c>
      <c r="R80" s="122">
        <v>0</v>
      </c>
      <c r="V80" s="116"/>
      <c r="W80" s="116"/>
      <c r="X80" s="124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</row>
    <row r="81" spans="2:44" s="112" customFormat="1" x14ac:dyDescent="0.2">
      <c r="B81" s="118">
        <v>43271</v>
      </c>
      <c r="C81" s="119">
        <f t="shared" si="5"/>
        <v>3</v>
      </c>
      <c r="D81" s="119" t="str">
        <f t="shared" si="6"/>
        <v>MIERCOLES</v>
      </c>
      <c r="E81" s="105">
        <v>1.0000087900000001</v>
      </c>
      <c r="F81" s="105">
        <v>393.1</v>
      </c>
      <c r="G81" s="104">
        <f t="shared" si="7"/>
        <v>1.0612691426865599</v>
      </c>
      <c r="H81" s="125">
        <v>5.9239105524239999E-2</v>
      </c>
      <c r="I81" s="126">
        <f t="shared" si="8"/>
        <v>0</v>
      </c>
      <c r="J81" s="97"/>
      <c r="K81" s="97"/>
      <c r="L81" s="71"/>
      <c r="M81" s="97"/>
      <c r="N81" s="97"/>
      <c r="O81" s="97"/>
      <c r="P81" s="117"/>
      <c r="Q81" s="71">
        <f t="shared" si="9"/>
        <v>77</v>
      </c>
      <c r="R81" s="122">
        <v>0</v>
      </c>
      <c r="V81" s="116"/>
      <c r="W81" s="116"/>
      <c r="X81" s="124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</row>
    <row r="82" spans="2:44" s="112" customFormat="1" x14ac:dyDescent="0.2">
      <c r="B82" s="118">
        <v>43272</v>
      </c>
      <c r="C82" s="119">
        <f t="shared" si="5"/>
        <v>4</v>
      </c>
      <c r="D82" s="119" t="str">
        <f t="shared" si="6"/>
        <v>JUEVES</v>
      </c>
      <c r="E82" s="105">
        <v>1.0000088600000001</v>
      </c>
      <c r="F82" s="105">
        <v>392.1</v>
      </c>
      <c r="G82" s="104">
        <f t="shared" si="7"/>
        <v>1.05856939925566</v>
      </c>
      <c r="H82" s="125">
        <v>5.9239105524239999E-2</v>
      </c>
      <c r="I82" s="126">
        <f t="shared" si="8"/>
        <v>0</v>
      </c>
      <c r="J82" s="97"/>
      <c r="K82" s="97"/>
      <c r="L82" s="71"/>
      <c r="M82" s="97"/>
      <c r="N82" s="97"/>
      <c r="O82" s="97"/>
      <c r="P82" s="117"/>
      <c r="Q82" s="71">
        <f t="shared" si="9"/>
        <v>78</v>
      </c>
      <c r="R82" s="122">
        <v>0</v>
      </c>
      <c r="V82" s="116"/>
      <c r="W82" s="116"/>
      <c r="X82" s="124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</row>
    <row r="83" spans="2:44" s="112" customFormat="1" x14ac:dyDescent="0.2">
      <c r="B83" s="118">
        <v>43273</v>
      </c>
      <c r="C83" s="119">
        <f t="shared" si="5"/>
        <v>5</v>
      </c>
      <c r="D83" s="119" t="str">
        <f t="shared" si="6"/>
        <v>VIERNES</v>
      </c>
      <c r="E83" s="105">
        <v>1.0000089400000001</v>
      </c>
      <c r="F83" s="105">
        <v>391.1</v>
      </c>
      <c r="G83" s="104">
        <f t="shared" si="7"/>
        <v>1.05586965582476</v>
      </c>
      <c r="H83" s="125">
        <v>5.9239105524239999E-2</v>
      </c>
      <c r="I83" s="126">
        <f t="shared" si="8"/>
        <v>0</v>
      </c>
      <c r="J83" s="97"/>
      <c r="K83" s="97"/>
      <c r="L83" s="71"/>
      <c r="M83" s="97"/>
      <c r="N83" s="97"/>
      <c r="O83" s="97"/>
      <c r="P83" s="117"/>
      <c r="Q83" s="71">
        <f t="shared" si="9"/>
        <v>79</v>
      </c>
      <c r="R83" s="122">
        <v>0</v>
      </c>
      <c r="V83" s="116"/>
      <c r="W83" s="116"/>
      <c r="X83" s="124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</row>
    <row r="84" spans="2:44" s="112" customFormat="1" x14ac:dyDescent="0.2">
      <c r="B84" s="118">
        <v>43276</v>
      </c>
      <c r="C84" s="119">
        <f t="shared" si="5"/>
        <v>1</v>
      </c>
      <c r="D84" s="119" t="str">
        <f t="shared" si="6"/>
        <v>LUNES</v>
      </c>
      <c r="E84" s="105">
        <v>1.00000935</v>
      </c>
      <c r="F84" s="105">
        <v>388.1</v>
      </c>
      <c r="G84" s="104">
        <f t="shared" si="7"/>
        <v>1.0477704255320599</v>
      </c>
      <c r="H84" s="125">
        <v>5.9239105524239999E-2</v>
      </c>
      <c r="I84" s="126">
        <f t="shared" si="8"/>
        <v>0</v>
      </c>
      <c r="J84" s="97"/>
      <c r="K84" s="97"/>
      <c r="L84" s="71"/>
      <c r="M84" s="97"/>
      <c r="N84" s="97"/>
      <c r="O84" s="97"/>
      <c r="P84" s="117"/>
      <c r="Q84" s="71">
        <f t="shared" si="9"/>
        <v>80</v>
      </c>
      <c r="R84" s="122">
        <v>0</v>
      </c>
      <c r="V84" s="116"/>
      <c r="W84" s="116"/>
      <c r="X84" s="124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</row>
    <row r="85" spans="2:44" s="112" customFormat="1" x14ac:dyDescent="0.2">
      <c r="B85" s="118">
        <v>43277</v>
      </c>
      <c r="C85" s="119">
        <f t="shared" si="5"/>
        <v>2</v>
      </c>
      <c r="D85" s="119" t="str">
        <f t="shared" si="6"/>
        <v>MARTES</v>
      </c>
      <c r="E85" s="105">
        <v>1.00000954</v>
      </c>
      <c r="F85" s="105">
        <v>387.1</v>
      </c>
      <c r="G85" s="104">
        <f t="shared" si="7"/>
        <v>1.0450706821011599</v>
      </c>
      <c r="H85" s="125">
        <v>5.9239105524239999E-2</v>
      </c>
      <c r="I85" s="126">
        <f t="shared" si="8"/>
        <v>0</v>
      </c>
      <c r="J85" s="97"/>
      <c r="K85" s="97"/>
      <c r="L85" s="71"/>
      <c r="M85" s="97"/>
      <c r="N85" s="97"/>
      <c r="O85" s="97"/>
      <c r="P85" s="117"/>
      <c r="Q85" s="71">
        <f t="shared" si="9"/>
        <v>81</v>
      </c>
      <c r="R85" s="122">
        <v>0</v>
      </c>
      <c r="V85" s="116"/>
      <c r="W85" s="116"/>
      <c r="X85" s="124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</row>
    <row r="86" spans="2:44" s="112" customFormat="1" x14ac:dyDescent="0.2">
      <c r="B86" s="118">
        <v>43278</v>
      </c>
      <c r="C86" s="119">
        <f t="shared" si="5"/>
        <v>3</v>
      </c>
      <c r="D86" s="119" t="str">
        <f t="shared" si="6"/>
        <v>MIERCOLES</v>
      </c>
      <c r="E86" s="105">
        <v>1.00000975</v>
      </c>
      <c r="F86" s="105">
        <v>386.1</v>
      </c>
      <c r="G86" s="104">
        <f t="shared" si="7"/>
        <v>1.04237093867026</v>
      </c>
      <c r="H86" s="125">
        <v>5.9239105524239999E-2</v>
      </c>
      <c r="I86" s="126">
        <f t="shared" si="8"/>
        <v>0</v>
      </c>
      <c r="J86" s="97"/>
      <c r="K86" s="97"/>
      <c r="L86" s="71"/>
      <c r="M86" s="97"/>
      <c r="N86" s="97"/>
      <c r="O86" s="97"/>
      <c r="P86" s="117"/>
      <c r="Q86" s="71">
        <f t="shared" si="9"/>
        <v>82</v>
      </c>
      <c r="R86" s="122">
        <v>0</v>
      </c>
      <c r="V86" s="116"/>
      <c r="W86" s="116"/>
      <c r="X86" s="124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</row>
    <row r="87" spans="2:44" s="112" customFormat="1" x14ac:dyDescent="0.2">
      <c r="B87" s="118">
        <v>43279</v>
      </c>
      <c r="C87" s="119">
        <f t="shared" si="5"/>
        <v>4</v>
      </c>
      <c r="D87" s="119" t="str">
        <f t="shared" si="6"/>
        <v>JUEVES</v>
      </c>
      <c r="E87" s="105">
        <v>1.0000099899999999</v>
      </c>
      <c r="F87" s="105">
        <v>385.1</v>
      </c>
      <c r="G87" s="104">
        <f t="shared" si="7"/>
        <v>1.03967119523936</v>
      </c>
      <c r="H87" s="125">
        <v>5.9239105524239999E-2</v>
      </c>
      <c r="I87" s="126">
        <f t="shared" si="8"/>
        <v>0</v>
      </c>
      <c r="J87" s="97"/>
      <c r="K87" s="97"/>
      <c r="L87" s="71"/>
      <c r="M87" s="97"/>
      <c r="N87" s="97"/>
      <c r="O87" s="97"/>
      <c r="P87" s="117"/>
      <c r="Q87" s="71">
        <f t="shared" si="9"/>
        <v>83</v>
      </c>
      <c r="R87" s="122">
        <v>0</v>
      </c>
      <c r="V87" s="116"/>
      <c r="W87" s="116"/>
      <c r="X87" s="124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</row>
    <row r="88" spans="2:44" s="112" customFormat="1" x14ac:dyDescent="0.2">
      <c r="B88" s="118">
        <v>43280</v>
      </c>
      <c r="C88" s="119">
        <f t="shared" si="5"/>
        <v>5</v>
      </c>
      <c r="D88" s="119" t="str">
        <f t="shared" si="6"/>
        <v>VIERNES</v>
      </c>
      <c r="E88" s="105">
        <v>1.0000102399999999</v>
      </c>
      <c r="F88" s="105">
        <v>384.1</v>
      </c>
      <c r="G88" s="104">
        <f t="shared" si="7"/>
        <v>1.0369714518084601</v>
      </c>
      <c r="H88" s="125">
        <v>5.9239105524239999E-2</v>
      </c>
      <c r="I88" s="126">
        <f t="shared" si="8"/>
        <v>0</v>
      </c>
      <c r="J88" s="97"/>
      <c r="K88" s="97"/>
      <c r="L88" s="71"/>
      <c r="M88" s="97"/>
      <c r="N88" s="97"/>
      <c r="O88" s="97"/>
      <c r="P88" s="117"/>
      <c r="Q88" s="71">
        <f t="shared" si="9"/>
        <v>84</v>
      </c>
      <c r="R88" s="122">
        <v>0</v>
      </c>
      <c r="V88" s="116"/>
      <c r="W88" s="116"/>
      <c r="X88" s="124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</row>
    <row r="89" spans="2:44" s="112" customFormat="1" x14ac:dyDescent="0.2">
      <c r="B89" s="118">
        <v>43283</v>
      </c>
      <c r="C89" s="119">
        <f t="shared" si="5"/>
        <v>1</v>
      </c>
      <c r="D89" s="119" t="str">
        <f t="shared" si="6"/>
        <v>LUNES</v>
      </c>
      <c r="E89" s="105">
        <v>1.0000112800000001</v>
      </c>
      <c r="F89" s="105">
        <v>381.1</v>
      </c>
      <c r="G89" s="104">
        <f t="shared" si="7"/>
        <v>1.0288722475783201</v>
      </c>
      <c r="H89" s="125">
        <v>5.923900269889E-2</v>
      </c>
      <c r="I89" s="126">
        <f t="shared" si="8"/>
        <v>-1.73576961247E-6</v>
      </c>
      <c r="J89" s="97"/>
      <c r="K89" s="97"/>
      <c r="L89" s="71"/>
      <c r="M89" s="97"/>
      <c r="N89" s="97"/>
      <c r="O89" s="97"/>
      <c r="P89" s="117"/>
      <c r="Q89" s="71">
        <f t="shared" si="9"/>
        <v>85</v>
      </c>
      <c r="R89" s="122">
        <v>0</v>
      </c>
      <c r="V89" s="116"/>
      <c r="W89" s="116"/>
      <c r="X89" s="124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</row>
    <row r="90" spans="2:44" s="112" customFormat="1" x14ac:dyDescent="0.2">
      <c r="B90" s="118">
        <v>43284</v>
      </c>
      <c r="C90" s="119">
        <f t="shared" si="5"/>
        <v>2</v>
      </c>
      <c r="D90" s="119" t="str">
        <f t="shared" si="6"/>
        <v>MARTES</v>
      </c>
      <c r="E90" s="105">
        <v>1.00001165</v>
      </c>
      <c r="F90" s="105">
        <v>380.1</v>
      </c>
      <c r="G90" s="104">
        <f t="shared" si="7"/>
        <v>1.0261725040790299</v>
      </c>
      <c r="H90" s="125">
        <v>5.923900269889E-2</v>
      </c>
      <c r="I90" s="126">
        <f t="shared" si="8"/>
        <v>0</v>
      </c>
      <c r="J90" s="97"/>
      <c r="K90" s="97"/>
      <c r="L90" s="71"/>
      <c r="M90" s="97"/>
      <c r="N90" s="97"/>
      <c r="O90" s="97"/>
      <c r="P90" s="117"/>
      <c r="Q90" s="71">
        <f t="shared" si="9"/>
        <v>86</v>
      </c>
      <c r="R90" s="122">
        <v>0</v>
      </c>
      <c r="V90" s="116"/>
      <c r="W90" s="116"/>
      <c r="X90" s="124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</row>
    <row r="91" spans="2:44" s="112" customFormat="1" x14ac:dyDescent="0.2">
      <c r="B91" s="118">
        <v>43285</v>
      </c>
      <c r="C91" s="119">
        <f t="shared" si="5"/>
        <v>3</v>
      </c>
      <c r="D91" s="119" t="str">
        <f t="shared" si="6"/>
        <v>MIERCOLES</v>
      </c>
      <c r="E91" s="105">
        <v>1.0000120299999999</v>
      </c>
      <c r="F91" s="105">
        <v>379.1</v>
      </c>
      <c r="G91" s="104">
        <f t="shared" si="7"/>
        <v>1.02347276057975</v>
      </c>
      <c r="H91" s="125">
        <v>5.923900269889E-2</v>
      </c>
      <c r="I91" s="126">
        <f t="shared" si="8"/>
        <v>0</v>
      </c>
      <c r="J91" s="97"/>
      <c r="K91" s="97"/>
      <c r="L91" s="71"/>
      <c r="M91" s="97"/>
      <c r="N91" s="97"/>
      <c r="O91" s="97"/>
      <c r="P91" s="117"/>
      <c r="Q91" s="71">
        <f t="shared" si="9"/>
        <v>87</v>
      </c>
      <c r="R91" s="122">
        <v>0</v>
      </c>
      <c r="V91" s="116"/>
      <c r="W91" s="116"/>
      <c r="X91" s="124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</row>
    <row r="92" spans="2:44" s="112" customFormat="1" x14ac:dyDescent="0.2">
      <c r="B92" s="118">
        <v>43286</v>
      </c>
      <c r="C92" s="119">
        <f t="shared" si="5"/>
        <v>4</v>
      </c>
      <c r="D92" s="119" t="str">
        <f t="shared" si="6"/>
        <v>JUEVES</v>
      </c>
      <c r="E92" s="105">
        <v>1.0000124500000001</v>
      </c>
      <c r="F92" s="105">
        <v>378.1</v>
      </c>
      <c r="G92" s="104">
        <f t="shared" si="7"/>
        <v>1.0207730170804601</v>
      </c>
      <c r="H92" s="125">
        <v>5.923900269889E-2</v>
      </c>
      <c r="I92" s="126">
        <f t="shared" si="8"/>
        <v>0</v>
      </c>
      <c r="J92" s="97"/>
      <c r="K92" s="97"/>
      <c r="L92" s="71"/>
      <c r="M92" s="97"/>
      <c r="N92" s="97"/>
      <c r="O92" s="97"/>
      <c r="P92" s="117"/>
      <c r="Q92" s="71">
        <f t="shared" si="9"/>
        <v>88</v>
      </c>
      <c r="R92" s="122">
        <v>0</v>
      </c>
      <c r="V92" s="116"/>
      <c r="W92" s="116"/>
      <c r="X92" s="124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</row>
    <row r="93" spans="2:44" s="112" customFormat="1" x14ac:dyDescent="0.2">
      <c r="B93" s="118">
        <v>43287</v>
      </c>
      <c r="C93" s="119">
        <f t="shared" si="5"/>
        <v>5</v>
      </c>
      <c r="D93" s="119" t="str">
        <f t="shared" si="6"/>
        <v>VIERNES</v>
      </c>
      <c r="E93" s="105">
        <v>1.0000128800000001</v>
      </c>
      <c r="F93" s="105">
        <v>377.1</v>
      </c>
      <c r="G93" s="104">
        <f t="shared" si="7"/>
        <v>1.0180732735811699</v>
      </c>
      <c r="H93" s="125">
        <v>5.923900269889E-2</v>
      </c>
      <c r="I93" s="126">
        <f t="shared" si="8"/>
        <v>0</v>
      </c>
      <c r="J93" s="97"/>
      <c r="K93" s="97"/>
      <c r="L93" s="71"/>
      <c r="M93" s="97"/>
      <c r="N93" s="97"/>
      <c r="O93" s="97"/>
      <c r="P93" s="117"/>
      <c r="Q93" s="71">
        <f t="shared" si="9"/>
        <v>89</v>
      </c>
      <c r="R93" s="122">
        <v>0</v>
      </c>
      <c r="V93" s="116"/>
      <c r="W93" s="116"/>
      <c r="X93" s="124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</row>
    <row r="94" spans="2:44" s="112" customFormat="1" x14ac:dyDescent="0.2">
      <c r="B94" s="118">
        <v>43290</v>
      </c>
      <c r="C94" s="119">
        <f t="shared" si="5"/>
        <v>1</v>
      </c>
      <c r="D94" s="119" t="str">
        <f t="shared" si="6"/>
        <v>LUNES</v>
      </c>
      <c r="E94" s="105">
        <v>1.0000143399999999</v>
      </c>
      <c r="F94" s="105">
        <v>374.1</v>
      </c>
      <c r="G94" s="104">
        <f t="shared" si="7"/>
        <v>1.00997404308331</v>
      </c>
      <c r="H94" s="125">
        <v>5.923900269889E-2</v>
      </c>
      <c r="I94" s="126">
        <f t="shared" si="8"/>
        <v>0</v>
      </c>
      <c r="J94" s="97"/>
      <c r="K94" s="97"/>
      <c r="L94" s="71"/>
      <c r="M94" s="97"/>
      <c r="N94" s="97"/>
      <c r="O94" s="97"/>
      <c r="P94" s="117"/>
      <c r="Q94" s="71">
        <f t="shared" si="9"/>
        <v>90</v>
      </c>
      <c r="R94" s="122">
        <v>0</v>
      </c>
      <c r="V94" s="116"/>
      <c r="W94" s="116"/>
      <c r="X94" s="124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</row>
    <row r="95" spans="2:44" s="112" customFormat="1" x14ac:dyDescent="0.2">
      <c r="B95" s="118">
        <v>43291</v>
      </c>
      <c r="C95" s="119">
        <f t="shared" si="5"/>
        <v>2</v>
      </c>
      <c r="D95" s="119" t="str">
        <f t="shared" si="6"/>
        <v>MARTES</v>
      </c>
      <c r="E95" s="105">
        <v>1.0000148900000001</v>
      </c>
      <c r="F95" s="105">
        <v>373.1</v>
      </c>
      <c r="G95" s="104">
        <f t="shared" si="7"/>
        <v>1.00727429958402</v>
      </c>
      <c r="H95" s="125">
        <v>5.923900269889E-2</v>
      </c>
      <c r="I95" s="126">
        <f t="shared" si="8"/>
        <v>0</v>
      </c>
      <c r="J95" s="97"/>
      <c r="K95" s="97"/>
      <c r="L95" s="71"/>
      <c r="M95" s="97"/>
      <c r="N95" s="97"/>
      <c r="O95" s="97"/>
      <c r="P95" s="117"/>
      <c r="Q95" s="71">
        <f t="shared" si="9"/>
        <v>91</v>
      </c>
      <c r="R95" s="122">
        <v>0</v>
      </c>
      <c r="V95" s="116"/>
      <c r="W95" s="116"/>
      <c r="X95" s="124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</row>
    <row r="96" spans="2:44" s="112" customFormat="1" x14ac:dyDescent="0.2">
      <c r="B96" s="118">
        <v>43292</v>
      </c>
      <c r="C96" s="119">
        <f t="shared" si="5"/>
        <v>3</v>
      </c>
      <c r="D96" s="119" t="str">
        <f t="shared" si="6"/>
        <v>MIERCOLES</v>
      </c>
      <c r="E96" s="105">
        <v>1.0000154400000001</v>
      </c>
      <c r="F96" s="105">
        <v>372.1</v>
      </c>
      <c r="G96" s="104">
        <f t="shared" si="7"/>
        <v>1.0045745560847399</v>
      </c>
      <c r="H96" s="125">
        <v>5.923900269889E-2</v>
      </c>
      <c r="I96" s="126">
        <f t="shared" si="8"/>
        <v>0</v>
      </c>
      <c r="J96" s="97"/>
      <c r="K96" s="97"/>
      <c r="L96" s="71"/>
      <c r="M96" s="97"/>
      <c r="N96" s="97"/>
      <c r="O96" s="97"/>
      <c r="P96" s="117"/>
      <c r="Q96" s="71">
        <f t="shared" si="9"/>
        <v>92</v>
      </c>
      <c r="R96" s="122">
        <v>0</v>
      </c>
      <c r="V96" s="116"/>
      <c r="W96" s="116"/>
      <c r="X96" s="124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</row>
    <row r="97" spans="2:44" s="112" customFormat="1" x14ac:dyDescent="0.2">
      <c r="B97" s="118">
        <v>43293</v>
      </c>
      <c r="C97" s="119">
        <f t="shared" si="5"/>
        <v>4</v>
      </c>
      <c r="D97" s="119" t="str">
        <f t="shared" si="6"/>
        <v>JUEVES</v>
      </c>
      <c r="E97" s="105">
        <v>1.00001604</v>
      </c>
      <c r="F97" s="105">
        <v>371.1</v>
      </c>
      <c r="G97" s="104">
        <f t="shared" si="7"/>
        <v>1.00187481258545</v>
      </c>
      <c r="H97" s="125">
        <v>5.923900269889E-2</v>
      </c>
      <c r="I97" s="126">
        <f t="shared" si="8"/>
        <v>0</v>
      </c>
      <c r="J97" s="97"/>
      <c r="K97" s="97"/>
      <c r="L97" s="71"/>
      <c r="M97" s="97"/>
      <c r="N97" s="97"/>
      <c r="O97" s="97"/>
      <c r="P97" s="117"/>
      <c r="Q97" s="71">
        <f t="shared" si="9"/>
        <v>93</v>
      </c>
      <c r="R97" s="122">
        <v>0</v>
      </c>
      <c r="V97" s="116"/>
      <c r="W97" s="116"/>
      <c r="X97" s="124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</row>
    <row r="98" spans="2:44" s="112" customFormat="1" x14ac:dyDescent="0.2">
      <c r="B98" s="118">
        <v>43294</v>
      </c>
      <c r="C98" s="119">
        <f t="shared" si="5"/>
        <v>5</v>
      </c>
      <c r="D98" s="119" t="str">
        <f t="shared" si="6"/>
        <v>VIERNES</v>
      </c>
      <c r="E98" s="105">
        <v>1.0000166500000001</v>
      </c>
      <c r="F98" s="105">
        <v>370.1</v>
      </c>
      <c r="G98" s="104">
        <f t="shared" si="7"/>
        <v>0.99917506908616105</v>
      </c>
      <c r="H98" s="125">
        <v>5.923900269889E-2</v>
      </c>
      <c r="I98" s="126">
        <f t="shared" si="8"/>
        <v>0</v>
      </c>
      <c r="J98" s="97"/>
      <c r="K98" s="97"/>
      <c r="L98" s="71"/>
      <c r="M98" s="97"/>
      <c r="N98" s="97"/>
      <c r="O98" s="97"/>
      <c r="P98" s="117"/>
      <c r="Q98" s="71">
        <f t="shared" si="9"/>
        <v>94</v>
      </c>
      <c r="R98" s="122">
        <v>0</v>
      </c>
      <c r="V98" s="116"/>
      <c r="W98" s="116"/>
      <c r="X98" s="124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</row>
    <row r="99" spans="2:44" s="112" customFormat="1" x14ac:dyDescent="0.2">
      <c r="B99" s="118">
        <v>43297</v>
      </c>
      <c r="C99" s="119">
        <f t="shared" si="5"/>
        <v>1</v>
      </c>
      <c r="D99" s="119" t="str">
        <f t="shared" si="6"/>
        <v>LUNES</v>
      </c>
      <c r="E99" s="105">
        <v>1.00001864</v>
      </c>
      <c r="F99" s="105">
        <v>367.1</v>
      </c>
      <c r="G99" s="104">
        <f t="shared" si="7"/>
        <v>0.99107583858829995</v>
      </c>
      <c r="H99" s="125">
        <v>5.923900269889E-2</v>
      </c>
      <c r="I99" s="126">
        <f t="shared" si="8"/>
        <v>0</v>
      </c>
      <c r="J99" s="97"/>
      <c r="K99" s="97"/>
      <c r="L99" s="71"/>
      <c r="M99" s="97"/>
      <c r="N99" s="97"/>
      <c r="O99" s="97"/>
      <c r="P99" s="117"/>
      <c r="Q99" s="71">
        <f t="shared" si="9"/>
        <v>95</v>
      </c>
      <c r="R99" s="122">
        <v>0</v>
      </c>
      <c r="V99" s="116"/>
      <c r="W99" s="116"/>
      <c r="X99" s="124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</row>
    <row r="100" spans="2:44" s="112" customFormat="1" x14ac:dyDescent="0.2">
      <c r="B100" s="118">
        <v>43298</v>
      </c>
      <c r="C100" s="119">
        <f t="shared" si="5"/>
        <v>2</v>
      </c>
      <c r="D100" s="119" t="str">
        <f t="shared" si="6"/>
        <v>MARTES</v>
      </c>
      <c r="E100" s="105">
        <v>1.0000193500000001</v>
      </c>
      <c r="F100" s="105">
        <v>366.1</v>
      </c>
      <c r="G100" s="104">
        <f t="shared" si="7"/>
        <v>0.98837609508901303</v>
      </c>
      <c r="H100" s="125">
        <v>5.923900269889E-2</v>
      </c>
      <c r="I100" s="126">
        <f t="shared" si="8"/>
        <v>0</v>
      </c>
      <c r="J100" s="97"/>
      <c r="K100" s="97"/>
      <c r="L100" s="71"/>
      <c r="M100" s="97"/>
      <c r="N100" s="97"/>
      <c r="O100" s="97"/>
      <c r="P100" s="117"/>
      <c r="Q100" s="71">
        <f t="shared" si="9"/>
        <v>96</v>
      </c>
      <c r="R100" s="122">
        <v>0</v>
      </c>
      <c r="V100" s="116"/>
      <c r="W100" s="116"/>
      <c r="X100" s="124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</row>
    <row r="101" spans="2:44" s="112" customFormat="1" x14ac:dyDescent="0.2">
      <c r="B101" s="118">
        <v>43299</v>
      </c>
      <c r="C101" s="119">
        <f t="shared" si="5"/>
        <v>3</v>
      </c>
      <c r="D101" s="119" t="str">
        <f t="shared" si="6"/>
        <v>MIERCOLES</v>
      </c>
      <c r="E101" s="105">
        <v>1.0000201</v>
      </c>
      <c r="F101" s="105">
        <v>365.1</v>
      </c>
      <c r="G101" s="104">
        <f t="shared" si="7"/>
        <v>0.985676351589726</v>
      </c>
      <c r="H101" s="125">
        <v>5.923900269889E-2</v>
      </c>
      <c r="I101" s="126">
        <f t="shared" si="8"/>
        <v>0</v>
      </c>
      <c r="J101" s="97"/>
      <c r="K101" s="97"/>
      <c r="L101" s="71"/>
      <c r="M101" s="97"/>
      <c r="N101" s="97"/>
      <c r="O101" s="97"/>
      <c r="P101" s="117"/>
      <c r="Q101" s="71">
        <f t="shared" si="9"/>
        <v>97</v>
      </c>
      <c r="R101" s="122">
        <v>0</v>
      </c>
      <c r="V101" s="116"/>
      <c r="W101" s="116"/>
      <c r="X101" s="124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</row>
    <row r="102" spans="2:44" s="112" customFormat="1" x14ac:dyDescent="0.2">
      <c r="B102" s="118">
        <v>43300</v>
      </c>
      <c r="C102" s="119">
        <f t="shared" si="5"/>
        <v>4</v>
      </c>
      <c r="D102" s="119" t="str">
        <f t="shared" si="6"/>
        <v>JUEVES</v>
      </c>
      <c r="E102" s="105">
        <v>1.00002046</v>
      </c>
      <c r="F102" s="105">
        <v>364.1</v>
      </c>
      <c r="G102" s="104">
        <f t="shared" si="7"/>
        <v>0.98297650868437303</v>
      </c>
      <c r="H102" s="125">
        <v>5.9239413200030004E-2</v>
      </c>
      <c r="I102" s="126">
        <f t="shared" si="8"/>
        <v>6.9295514611499999E-6</v>
      </c>
      <c r="J102" s="97"/>
      <c r="K102" s="97"/>
      <c r="L102" s="71"/>
      <c r="M102" s="97"/>
      <c r="N102" s="97"/>
      <c r="O102" s="97"/>
      <c r="P102" s="117"/>
      <c r="Q102" s="71">
        <f t="shared" si="9"/>
        <v>98</v>
      </c>
      <c r="R102" s="122">
        <v>0</v>
      </c>
      <c r="V102" s="116"/>
      <c r="W102" s="116"/>
      <c r="X102" s="124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</row>
    <row r="103" spans="2:44" s="112" customFormat="1" x14ac:dyDescent="0.2">
      <c r="B103" s="118">
        <v>43301</v>
      </c>
      <c r="C103" s="119">
        <f t="shared" si="5"/>
        <v>5</v>
      </c>
      <c r="D103" s="119" t="str">
        <f t="shared" si="6"/>
        <v>VIERNES</v>
      </c>
      <c r="E103" s="105">
        <v>1.00002126</v>
      </c>
      <c r="F103" s="105">
        <v>363.1</v>
      </c>
      <c r="G103" s="104">
        <f t="shared" si="7"/>
        <v>0.98027676545810505</v>
      </c>
      <c r="H103" s="125">
        <v>5.9239413200030004E-2</v>
      </c>
      <c r="I103" s="126">
        <f t="shared" si="8"/>
        <v>0</v>
      </c>
      <c r="J103" s="97"/>
      <c r="K103" s="97"/>
      <c r="L103" s="71"/>
      <c r="M103" s="97"/>
      <c r="N103" s="97"/>
      <c r="O103" s="97"/>
      <c r="P103" s="117"/>
      <c r="Q103" s="71">
        <f t="shared" si="9"/>
        <v>99</v>
      </c>
      <c r="R103" s="122">
        <v>0</v>
      </c>
      <c r="V103" s="116"/>
      <c r="W103" s="116"/>
      <c r="X103" s="124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</row>
    <row r="104" spans="2:44" s="112" customFormat="1" x14ac:dyDescent="0.2">
      <c r="B104" s="118">
        <v>43304</v>
      </c>
      <c r="C104" s="119">
        <f t="shared" si="5"/>
        <v>1</v>
      </c>
      <c r="D104" s="119" t="str">
        <f t="shared" si="6"/>
        <v>LUNES</v>
      </c>
      <c r="E104" s="105">
        <v>1.0000237700000001</v>
      </c>
      <c r="F104" s="105">
        <v>360.1</v>
      </c>
      <c r="G104" s="104">
        <f t="shared" si="7"/>
        <v>0.972177535779299</v>
      </c>
      <c r="H104" s="125">
        <v>5.9239413200030004E-2</v>
      </c>
      <c r="I104" s="126">
        <f t="shared" si="8"/>
        <v>0</v>
      </c>
      <c r="J104" s="97"/>
      <c r="K104" s="97"/>
      <c r="L104" s="71"/>
      <c r="M104" s="97"/>
      <c r="N104" s="97"/>
      <c r="O104" s="97"/>
      <c r="P104" s="117"/>
      <c r="Q104" s="71">
        <f t="shared" si="9"/>
        <v>100</v>
      </c>
      <c r="R104" s="122">
        <v>0</v>
      </c>
      <c r="V104" s="116"/>
      <c r="W104" s="116"/>
      <c r="X104" s="124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</row>
    <row r="105" spans="2:44" s="112" customFormat="1" x14ac:dyDescent="0.2">
      <c r="B105" s="118">
        <v>43305</v>
      </c>
      <c r="C105" s="119">
        <f t="shared" si="5"/>
        <v>2</v>
      </c>
      <c r="D105" s="119" t="str">
        <f t="shared" si="6"/>
        <v>MARTES</v>
      </c>
      <c r="E105" s="105">
        <v>1.0000246699999999</v>
      </c>
      <c r="F105" s="105">
        <v>359.1</v>
      </c>
      <c r="G105" s="104">
        <f t="shared" si="7"/>
        <v>0.96947779255303101</v>
      </c>
      <c r="H105" s="125">
        <v>5.9239413200030004E-2</v>
      </c>
      <c r="I105" s="126">
        <f t="shared" si="8"/>
        <v>0</v>
      </c>
      <c r="J105" s="97"/>
      <c r="K105" s="97"/>
      <c r="L105" s="71"/>
      <c r="M105" s="97"/>
      <c r="N105" s="97"/>
      <c r="O105" s="97"/>
      <c r="P105" s="117"/>
      <c r="Q105" s="71">
        <f t="shared" si="9"/>
        <v>101</v>
      </c>
      <c r="R105" s="122">
        <v>0</v>
      </c>
      <c r="V105" s="116"/>
      <c r="W105" s="116"/>
      <c r="X105" s="124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</row>
    <row r="106" spans="2:44" s="112" customFormat="1" x14ac:dyDescent="0.2">
      <c r="B106" s="118">
        <v>43306</v>
      </c>
      <c r="C106" s="119">
        <f t="shared" si="5"/>
        <v>3</v>
      </c>
      <c r="D106" s="119" t="str">
        <f t="shared" si="6"/>
        <v>MIERCOLES</v>
      </c>
      <c r="E106" s="105">
        <v>1.0000255899999999</v>
      </c>
      <c r="F106" s="105">
        <v>358.1</v>
      </c>
      <c r="G106" s="104">
        <f t="shared" si="7"/>
        <v>0.96677804932676203</v>
      </c>
      <c r="H106" s="125">
        <v>5.9239413200030004E-2</v>
      </c>
      <c r="I106" s="126">
        <f t="shared" si="8"/>
        <v>0</v>
      </c>
      <c r="J106" s="97"/>
      <c r="K106" s="97"/>
      <c r="L106" s="71"/>
      <c r="M106" s="97"/>
      <c r="N106" s="97"/>
      <c r="O106" s="97"/>
      <c r="P106" s="117"/>
      <c r="Q106" s="71">
        <f t="shared" si="9"/>
        <v>102</v>
      </c>
      <c r="R106" s="122">
        <v>0</v>
      </c>
      <c r="V106" s="116"/>
      <c r="W106" s="116"/>
      <c r="X106" s="124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</row>
    <row r="107" spans="2:44" s="112" customFormat="1" x14ac:dyDescent="0.2">
      <c r="B107" s="118">
        <v>43307</v>
      </c>
      <c r="C107" s="119">
        <f t="shared" si="5"/>
        <v>4</v>
      </c>
      <c r="D107" s="119" t="str">
        <f t="shared" si="6"/>
        <v>JUEVES</v>
      </c>
      <c r="E107" s="105">
        <v>1.00002652</v>
      </c>
      <c r="F107" s="105">
        <v>357.1</v>
      </c>
      <c r="G107" s="104">
        <f t="shared" si="7"/>
        <v>0.96407830610049405</v>
      </c>
      <c r="H107" s="125">
        <v>5.9239413200030004E-2</v>
      </c>
      <c r="I107" s="126">
        <f t="shared" si="8"/>
        <v>0</v>
      </c>
      <c r="J107" s="97"/>
      <c r="K107" s="97"/>
      <c r="L107" s="71"/>
      <c r="M107" s="97"/>
      <c r="N107" s="97"/>
      <c r="O107" s="97"/>
      <c r="P107" s="117"/>
      <c r="Q107" s="71">
        <f t="shared" si="9"/>
        <v>103</v>
      </c>
      <c r="R107" s="122">
        <v>0</v>
      </c>
      <c r="V107" s="116"/>
      <c r="W107" s="116"/>
      <c r="X107" s="124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</row>
    <row r="108" spans="2:44" s="112" customFormat="1" x14ac:dyDescent="0.2">
      <c r="B108" s="118">
        <v>43308</v>
      </c>
      <c r="C108" s="119">
        <f t="shared" si="5"/>
        <v>5</v>
      </c>
      <c r="D108" s="119" t="str">
        <f t="shared" si="6"/>
        <v>VIERNES</v>
      </c>
      <c r="E108" s="105">
        <v>1.0000274899999999</v>
      </c>
      <c r="F108" s="105">
        <v>356.1</v>
      </c>
      <c r="G108" s="104">
        <f t="shared" si="7"/>
        <v>0.96137856287422496</v>
      </c>
      <c r="H108" s="125">
        <v>5.9239413200030004E-2</v>
      </c>
      <c r="I108" s="126">
        <f t="shared" si="8"/>
        <v>0</v>
      </c>
      <c r="J108" s="97"/>
      <c r="K108" s="97"/>
      <c r="L108" s="71"/>
      <c r="M108" s="97"/>
      <c r="N108" s="97"/>
      <c r="O108" s="97"/>
      <c r="P108" s="117"/>
      <c r="Q108" s="71">
        <f t="shared" si="9"/>
        <v>104</v>
      </c>
      <c r="R108" s="122">
        <v>0</v>
      </c>
      <c r="V108" s="116"/>
      <c r="W108" s="116"/>
      <c r="X108" s="124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</row>
    <row r="109" spans="2:44" s="112" customFormat="1" x14ac:dyDescent="0.2">
      <c r="B109" s="118">
        <v>43311</v>
      </c>
      <c r="C109" s="119">
        <f t="shared" si="5"/>
        <v>1</v>
      </c>
      <c r="D109" s="119" t="str">
        <f t="shared" si="6"/>
        <v>LUNES</v>
      </c>
      <c r="E109" s="105">
        <v>1.00003055</v>
      </c>
      <c r="F109" s="105">
        <v>353.1</v>
      </c>
      <c r="G109" s="104">
        <f t="shared" si="7"/>
        <v>0.95327933319542002</v>
      </c>
      <c r="H109" s="125">
        <v>5.9239413200030004E-2</v>
      </c>
      <c r="I109" s="126">
        <f t="shared" si="8"/>
        <v>0</v>
      </c>
      <c r="J109" s="97"/>
      <c r="K109" s="97"/>
      <c r="L109" s="71"/>
      <c r="M109" s="97"/>
      <c r="N109" s="97"/>
      <c r="O109" s="97"/>
      <c r="P109" s="117"/>
      <c r="Q109" s="71">
        <f t="shared" si="9"/>
        <v>105</v>
      </c>
      <c r="R109" s="122">
        <v>0</v>
      </c>
      <c r="V109" s="116"/>
      <c r="W109" s="116"/>
      <c r="X109" s="124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</row>
    <row r="110" spans="2:44" s="112" customFormat="1" x14ac:dyDescent="0.2">
      <c r="B110" s="118">
        <v>43312</v>
      </c>
      <c r="C110" s="119">
        <f t="shared" si="5"/>
        <v>2</v>
      </c>
      <c r="D110" s="119" t="str">
        <f t="shared" si="6"/>
        <v>MARTES</v>
      </c>
      <c r="E110" s="105">
        <v>1.00003161</v>
      </c>
      <c r="F110" s="105">
        <v>357.25</v>
      </c>
      <c r="G110" s="104">
        <f t="shared" si="7"/>
        <v>0.96448326758443403</v>
      </c>
      <c r="H110" s="125">
        <v>5.9239413200030004E-2</v>
      </c>
      <c r="I110" s="126">
        <f t="shared" si="8"/>
        <v>0</v>
      </c>
      <c r="J110" s="97"/>
      <c r="K110" s="97"/>
      <c r="L110" s="71"/>
      <c r="M110" s="97"/>
      <c r="N110" s="97"/>
      <c r="O110" s="97"/>
      <c r="P110" s="117"/>
      <c r="Q110" s="71">
        <f t="shared" si="9"/>
        <v>106</v>
      </c>
      <c r="R110" s="122">
        <v>0</v>
      </c>
      <c r="V110" s="116"/>
      <c r="W110" s="116"/>
      <c r="X110" s="124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</row>
    <row r="111" spans="2:44" s="112" customFormat="1" x14ac:dyDescent="0.2">
      <c r="B111" s="118">
        <v>43313</v>
      </c>
      <c r="C111" s="119">
        <f t="shared" si="5"/>
        <v>3</v>
      </c>
      <c r="D111" s="119" t="str">
        <f t="shared" si="6"/>
        <v>MIERCOLES</v>
      </c>
      <c r="E111" s="105">
        <v>1.0000304</v>
      </c>
      <c r="F111" s="105">
        <v>356.25</v>
      </c>
      <c r="G111" s="104">
        <f t="shared" si="7"/>
        <v>0.96178352437374404</v>
      </c>
      <c r="H111" s="125">
        <v>5.9239413134280001E-2</v>
      </c>
      <c r="I111" s="126">
        <f t="shared" si="8"/>
        <v>-1.10990306E-9</v>
      </c>
      <c r="J111" s="97"/>
      <c r="K111" s="97"/>
      <c r="L111" s="71"/>
      <c r="M111" s="97"/>
      <c r="N111" s="97"/>
      <c r="O111" s="97"/>
      <c r="P111" s="117"/>
      <c r="Q111" s="71">
        <f t="shared" si="9"/>
        <v>107</v>
      </c>
      <c r="R111" s="122">
        <v>0</v>
      </c>
      <c r="V111" s="116"/>
      <c r="W111" s="116"/>
      <c r="X111" s="124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</row>
    <row r="112" spans="2:44" s="112" customFormat="1" x14ac:dyDescent="0.2">
      <c r="B112" s="118">
        <v>43314</v>
      </c>
      <c r="C112" s="119">
        <f t="shared" si="5"/>
        <v>4</v>
      </c>
      <c r="D112" s="119" t="str">
        <f t="shared" si="6"/>
        <v>JUEVES</v>
      </c>
      <c r="E112" s="105">
        <v>1.0000292099999999</v>
      </c>
      <c r="F112" s="105">
        <v>355.25</v>
      </c>
      <c r="G112" s="104">
        <f t="shared" si="7"/>
        <v>0.95908378114743198</v>
      </c>
      <c r="H112" s="125">
        <v>5.9239413134280001E-2</v>
      </c>
      <c r="I112" s="126">
        <f t="shared" si="8"/>
        <v>0</v>
      </c>
      <c r="J112" s="97"/>
      <c r="K112" s="97"/>
      <c r="L112" s="71"/>
      <c r="M112" s="97"/>
      <c r="N112" s="97"/>
      <c r="O112" s="97"/>
      <c r="P112" s="117"/>
      <c r="Q112" s="71">
        <f t="shared" si="9"/>
        <v>108</v>
      </c>
      <c r="R112" s="122">
        <v>0</v>
      </c>
      <c r="V112" s="116"/>
      <c r="W112" s="116"/>
      <c r="X112" s="124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</row>
    <row r="113" spans="2:44" s="112" customFormat="1" x14ac:dyDescent="0.2">
      <c r="B113" s="118">
        <v>43319</v>
      </c>
      <c r="C113" s="119">
        <f t="shared" si="5"/>
        <v>2</v>
      </c>
      <c r="D113" s="119" t="str">
        <f t="shared" si="6"/>
        <v>MARTES</v>
      </c>
      <c r="E113" s="105">
        <v>1.0000236499999999</v>
      </c>
      <c r="F113" s="105">
        <v>350.25</v>
      </c>
      <c r="G113" s="104">
        <f t="shared" si="7"/>
        <v>0.94558506501587003</v>
      </c>
      <c r="H113" s="125">
        <v>5.9239413134280001E-2</v>
      </c>
      <c r="I113" s="126">
        <f t="shared" si="8"/>
        <v>0</v>
      </c>
      <c r="J113" s="97"/>
      <c r="K113" s="97"/>
      <c r="L113" s="71"/>
      <c r="M113" s="97"/>
      <c r="N113" s="97"/>
      <c r="O113" s="97"/>
      <c r="P113" s="117"/>
      <c r="Q113" s="71">
        <f t="shared" si="9"/>
        <v>109</v>
      </c>
      <c r="R113" s="122">
        <v>0</v>
      </c>
      <c r="V113" s="116"/>
      <c r="W113" s="116"/>
      <c r="X113" s="124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</row>
    <row r="114" spans="2:44" s="112" customFormat="1" x14ac:dyDescent="0.2">
      <c r="B114" s="118">
        <v>43320</v>
      </c>
      <c r="C114" s="119">
        <f t="shared" si="5"/>
        <v>3</v>
      </c>
      <c r="D114" s="119" t="str">
        <f t="shared" si="6"/>
        <v>MIERCOLES</v>
      </c>
      <c r="E114" s="105">
        <v>1.00002261</v>
      </c>
      <c r="F114" s="105">
        <v>349.25</v>
      </c>
      <c r="G114" s="104">
        <f t="shared" si="7"/>
        <v>0.94288532178955797</v>
      </c>
      <c r="H114" s="125">
        <v>5.9239413134280001E-2</v>
      </c>
      <c r="I114" s="126">
        <f t="shared" si="8"/>
        <v>0</v>
      </c>
      <c r="J114" s="97"/>
      <c r="K114" s="97"/>
      <c r="L114" s="71"/>
      <c r="M114" s="97"/>
      <c r="N114" s="97"/>
      <c r="O114" s="97"/>
      <c r="P114" s="117"/>
      <c r="Q114" s="71">
        <f t="shared" si="9"/>
        <v>110</v>
      </c>
      <c r="R114" s="122">
        <v>0</v>
      </c>
      <c r="V114" s="116"/>
      <c r="W114" s="116"/>
      <c r="X114" s="124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</row>
    <row r="115" spans="2:44" s="112" customFormat="1" x14ac:dyDescent="0.2">
      <c r="B115" s="118">
        <v>43321</v>
      </c>
      <c r="C115" s="119">
        <f t="shared" si="5"/>
        <v>4</v>
      </c>
      <c r="D115" s="119" t="str">
        <f t="shared" si="6"/>
        <v>JUEVES</v>
      </c>
      <c r="E115" s="105">
        <v>1.00002159</v>
      </c>
      <c r="F115" s="105">
        <v>348.25</v>
      </c>
      <c r="G115" s="104">
        <f t="shared" si="7"/>
        <v>0.94018557856324603</v>
      </c>
      <c r="H115" s="125">
        <v>5.9239413134280001E-2</v>
      </c>
      <c r="I115" s="126">
        <f t="shared" si="8"/>
        <v>0</v>
      </c>
      <c r="J115" s="97"/>
      <c r="K115" s="97"/>
      <c r="L115" s="71"/>
      <c r="M115" s="97"/>
      <c r="N115" s="97"/>
      <c r="O115" s="97"/>
      <c r="P115" s="117"/>
      <c r="Q115" s="71">
        <f t="shared" si="9"/>
        <v>111</v>
      </c>
      <c r="R115" s="122">
        <v>0</v>
      </c>
      <c r="V115" s="116"/>
      <c r="W115" s="116"/>
      <c r="X115" s="124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</row>
    <row r="116" spans="2:44" s="112" customFormat="1" x14ac:dyDescent="0.2">
      <c r="B116" s="118">
        <v>43322</v>
      </c>
      <c r="C116" s="119">
        <f t="shared" si="5"/>
        <v>5</v>
      </c>
      <c r="D116" s="119" t="str">
        <f t="shared" si="6"/>
        <v>VIERNES</v>
      </c>
      <c r="E116" s="105">
        <v>1.00002061</v>
      </c>
      <c r="F116" s="105">
        <v>347.25</v>
      </c>
      <c r="G116" s="104">
        <f t="shared" si="7"/>
        <v>0.93748583533693397</v>
      </c>
      <c r="H116" s="125">
        <v>5.9239413134280001E-2</v>
      </c>
      <c r="I116" s="126">
        <f t="shared" si="8"/>
        <v>0</v>
      </c>
      <c r="J116" s="97"/>
      <c r="K116" s="97"/>
      <c r="L116" s="71"/>
      <c r="M116" s="97"/>
      <c r="N116" s="97"/>
      <c r="O116" s="97"/>
      <c r="P116" s="117"/>
      <c r="Q116" s="71">
        <f t="shared" si="9"/>
        <v>112</v>
      </c>
      <c r="R116" s="122">
        <v>0</v>
      </c>
      <c r="V116" s="116"/>
      <c r="W116" s="116"/>
      <c r="X116" s="124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</row>
    <row r="117" spans="2:44" s="112" customFormat="1" x14ac:dyDescent="0.2">
      <c r="B117" s="118">
        <v>43325</v>
      </c>
      <c r="C117" s="119">
        <f t="shared" si="5"/>
        <v>1</v>
      </c>
      <c r="D117" s="119" t="str">
        <f t="shared" si="6"/>
        <v>LUNES</v>
      </c>
      <c r="E117" s="105">
        <v>1.0000178</v>
      </c>
      <c r="F117" s="105">
        <v>344.25</v>
      </c>
      <c r="G117" s="104">
        <f t="shared" si="7"/>
        <v>0.92938660565799702</v>
      </c>
      <c r="H117" s="125">
        <v>5.9239413134280001E-2</v>
      </c>
      <c r="I117" s="126">
        <f t="shared" si="8"/>
        <v>0</v>
      </c>
      <c r="J117" s="97"/>
      <c r="K117" s="97"/>
      <c r="L117" s="71"/>
      <c r="M117" s="97"/>
      <c r="N117" s="97"/>
      <c r="O117" s="97"/>
      <c r="P117" s="117"/>
      <c r="Q117" s="71">
        <f t="shared" si="9"/>
        <v>113</v>
      </c>
      <c r="R117" s="122">
        <v>0</v>
      </c>
      <c r="V117" s="116"/>
      <c r="W117" s="116"/>
      <c r="X117" s="124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</row>
    <row r="118" spans="2:44" s="112" customFormat="1" x14ac:dyDescent="0.2">
      <c r="B118" s="118">
        <v>43326</v>
      </c>
      <c r="C118" s="119">
        <f t="shared" si="5"/>
        <v>2</v>
      </c>
      <c r="D118" s="119" t="str">
        <f t="shared" si="6"/>
        <v>MARTES</v>
      </c>
      <c r="E118" s="105">
        <v>1.0027964599999999</v>
      </c>
      <c r="F118" s="105">
        <v>343.29</v>
      </c>
      <c r="G118" s="104">
        <f t="shared" si="7"/>
        <v>0.92750656144237997</v>
      </c>
      <c r="H118" s="125">
        <v>5.6124612132499994E-2</v>
      </c>
      <c r="I118" s="126">
        <f t="shared" si="8"/>
        <v>-5.4012647512835799E-2</v>
      </c>
      <c r="J118" s="97"/>
      <c r="K118" s="97"/>
      <c r="L118" s="71"/>
      <c r="M118" s="97"/>
      <c r="N118" s="97"/>
      <c r="O118" s="97"/>
      <c r="P118" s="117"/>
      <c r="Q118" s="71">
        <f t="shared" si="9"/>
        <v>114</v>
      </c>
      <c r="R118" s="122">
        <v>0</v>
      </c>
      <c r="V118" s="116"/>
      <c r="W118" s="116"/>
      <c r="X118" s="124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</row>
    <row r="119" spans="2:44" s="112" customFormat="1" x14ac:dyDescent="0.2">
      <c r="B119" s="118">
        <v>43327</v>
      </c>
      <c r="C119" s="119">
        <f t="shared" si="5"/>
        <v>3</v>
      </c>
      <c r="D119" s="119" t="str">
        <f t="shared" si="6"/>
        <v>MIERCOLES</v>
      </c>
      <c r="E119" s="105">
        <v>1.00278815</v>
      </c>
      <c r="F119" s="105">
        <v>342.29</v>
      </c>
      <c r="G119" s="104">
        <f t="shared" si="7"/>
        <v>0.924804803079465</v>
      </c>
      <c r="H119" s="125">
        <v>5.6124357464989998E-2</v>
      </c>
      <c r="I119" s="126">
        <f t="shared" si="8"/>
        <v>-4.5375473986000004E-6</v>
      </c>
      <c r="J119" s="97"/>
      <c r="K119" s="97"/>
      <c r="L119" s="71"/>
      <c r="M119" s="97"/>
      <c r="N119" s="97"/>
      <c r="O119" s="97"/>
      <c r="P119" s="117"/>
      <c r="Q119" s="71">
        <f t="shared" si="9"/>
        <v>115</v>
      </c>
      <c r="R119" s="122">
        <v>0</v>
      </c>
      <c r="V119" s="116"/>
      <c r="W119" s="116"/>
      <c r="X119" s="124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</row>
    <row r="120" spans="2:44" s="112" customFormat="1" x14ac:dyDescent="0.2">
      <c r="B120" s="118">
        <v>43328</v>
      </c>
      <c r="C120" s="130">
        <f t="shared" si="5"/>
        <v>4</v>
      </c>
      <c r="D120" s="119" t="str">
        <f t="shared" si="6"/>
        <v>JUEVES</v>
      </c>
      <c r="E120" s="105">
        <v>1.00277963</v>
      </c>
      <c r="F120" s="105">
        <v>341.29</v>
      </c>
      <c r="G120" s="104">
        <f t="shared" si="7"/>
        <v>0.92210298648219602</v>
      </c>
      <c r="H120" s="125">
        <v>5.6124357464989998E-2</v>
      </c>
      <c r="I120" s="126">
        <f t="shared" si="8"/>
        <v>0</v>
      </c>
      <c r="J120" s="97"/>
      <c r="K120" s="97"/>
      <c r="L120" s="71"/>
      <c r="M120" s="97"/>
      <c r="N120" s="97"/>
      <c r="O120" s="97"/>
      <c r="P120" s="117"/>
      <c r="Q120" s="71">
        <f t="shared" si="9"/>
        <v>116</v>
      </c>
      <c r="R120" s="122">
        <v>0</v>
      </c>
      <c r="V120" s="116"/>
      <c r="W120" s="116"/>
      <c r="X120" s="124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</row>
    <row r="121" spans="2:44" s="132" customFormat="1" x14ac:dyDescent="0.2">
      <c r="B121" s="118">
        <v>43329</v>
      </c>
      <c r="C121" s="130">
        <f t="shared" si="5"/>
        <v>5</v>
      </c>
      <c r="D121" s="119" t="str">
        <f t="shared" si="6"/>
        <v>VIERNES</v>
      </c>
      <c r="E121" s="105">
        <v>1.0027711399999999</v>
      </c>
      <c r="F121" s="105">
        <v>340.29</v>
      </c>
      <c r="G121" s="104">
        <f t="shared" si="7"/>
        <v>0.91940116988492604</v>
      </c>
      <c r="H121" s="125">
        <v>5.6124357464989998E-2</v>
      </c>
      <c r="I121" s="126">
        <f t="shared" si="8"/>
        <v>0</v>
      </c>
      <c r="J121" s="131"/>
      <c r="K121" s="131"/>
      <c r="L121" s="74"/>
      <c r="M121" s="131"/>
      <c r="N121" s="131"/>
      <c r="O121" s="131"/>
      <c r="P121" s="116"/>
      <c r="Q121" s="71">
        <f t="shared" si="9"/>
        <v>117</v>
      </c>
      <c r="R121" s="122">
        <v>0</v>
      </c>
      <c r="S121" s="112"/>
      <c r="T121" s="112"/>
      <c r="U121" s="112"/>
      <c r="V121" s="116"/>
      <c r="W121" s="116"/>
      <c r="X121" s="124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</row>
    <row r="122" spans="2:44" s="112" customFormat="1" x14ac:dyDescent="0.2">
      <c r="B122" s="118">
        <v>43332</v>
      </c>
      <c r="C122" s="130">
        <f t="shared" si="5"/>
        <v>1</v>
      </c>
      <c r="D122" s="119" t="str">
        <f t="shared" si="6"/>
        <v>LUNES</v>
      </c>
      <c r="E122" s="105">
        <v>1.00274581</v>
      </c>
      <c r="F122" s="105">
        <v>337.29</v>
      </c>
      <c r="G122" s="104">
        <f t="shared" si="7"/>
        <v>0.91129572009311699</v>
      </c>
      <c r="H122" s="125">
        <v>5.6124357464989998E-2</v>
      </c>
      <c r="I122" s="126">
        <f t="shared" si="8"/>
        <v>0</v>
      </c>
      <c r="J122" s="133"/>
      <c r="K122" s="133"/>
      <c r="L122" s="134"/>
      <c r="M122" s="133"/>
      <c r="N122" s="133"/>
      <c r="O122" s="133"/>
      <c r="P122" s="117"/>
      <c r="Q122" s="71">
        <f t="shared" si="9"/>
        <v>118</v>
      </c>
      <c r="R122" s="122">
        <v>0</v>
      </c>
      <c r="V122" s="116"/>
      <c r="W122" s="116"/>
      <c r="X122" s="124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</row>
    <row r="123" spans="2:44" s="112" customFormat="1" x14ac:dyDescent="0.2">
      <c r="B123" s="118">
        <v>43333</v>
      </c>
      <c r="C123" s="130">
        <f t="shared" si="5"/>
        <v>2</v>
      </c>
      <c r="D123" s="119" t="str">
        <f t="shared" si="6"/>
        <v>MARTES</v>
      </c>
      <c r="E123" s="105">
        <v>1.0027374</v>
      </c>
      <c r="F123" s="105">
        <v>336.29</v>
      </c>
      <c r="G123" s="104">
        <f t="shared" si="7"/>
        <v>0.90859390349584701</v>
      </c>
      <c r="H123" s="125">
        <v>5.6124357464989998E-2</v>
      </c>
      <c r="I123" s="126">
        <f t="shared" si="8"/>
        <v>0</v>
      </c>
      <c r="J123" s="135"/>
      <c r="K123" s="135"/>
      <c r="L123" s="136"/>
      <c r="M123" s="135"/>
      <c r="N123" s="135"/>
      <c r="O123" s="135"/>
      <c r="P123" s="117"/>
      <c r="Q123" s="71">
        <f t="shared" si="9"/>
        <v>119</v>
      </c>
      <c r="R123" s="122">
        <v>0</v>
      </c>
      <c r="V123" s="116"/>
      <c r="W123" s="116"/>
      <c r="X123" s="124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</row>
    <row r="124" spans="2:44" s="112" customFormat="1" x14ac:dyDescent="0.2">
      <c r="B124" s="118">
        <v>43334</v>
      </c>
      <c r="C124" s="130">
        <f t="shared" si="5"/>
        <v>3</v>
      </c>
      <c r="D124" s="119" t="str">
        <f t="shared" si="6"/>
        <v>MIERCOLES</v>
      </c>
      <c r="E124" s="105">
        <v>1.00272903</v>
      </c>
      <c r="F124" s="105">
        <v>335.29</v>
      </c>
      <c r="G124" s="104">
        <f t="shared" si="7"/>
        <v>0.90589208689857703</v>
      </c>
      <c r="H124" s="125">
        <v>5.6124357464989998E-2</v>
      </c>
      <c r="I124" s="126">
        <f t="shared" si="8"/>
        <v>0</v>
      </c>
      <c r="J124" s="135"/>
      <c r="K124" s="135"/>
      <c r="L124" s="136"/>
      <c r="M124" s="135"/>
      <c r="N124" s="135"/>
      <c r="O124" s="135"/>
      <c r="P124" s="117"/>
      <c r="Q124" s="71">
        <f t="shared" si="9"/>
        <v>120</v>
      </c>
      <c r="R124" s="122">
        <v>0</v>
      </c>
      <c r="V124" s="116"/>
      <c r="W124" s="116"/>
      <c r="X124" s="124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</row>
    <row r="125" spans="2:44" s="112" customFormat="1" x14ac:dyDescent="0.2">
      <c r="B125" s="118">
        <v>43335</v>
      </c>
      <c r="C125" s="130">
        <f t="shared" si="5"/>
        <v>4</v>
      </c>
      <c r="D125" s="119" t="str">
        <f t="shared" si="6"/>
        <v>JUEVES</v>
      </c>
      <c r="E125" s="105">
        <v>1.00272067</v>
      </c>
      <c r="F125" s="105">
        <v>334.29</v>
      </c>
      <c r="G125" s="104">
        <f t="shared" si="7"/>
        <v>0.90319027030130705</v>
      </c>
      <c r="H125" s="125">
        <v>5.6124357464989998E-2</v>
      </c>
      <c r="I125" s="126">
        <f t="shared" si="8"/>
        <v>0</v>
      </c>
      <c r="J125" s="135"/>
      <c r="K125" s="135"/>
      <c r="L125" s="136"/>
      <c r="M125" s="135"/>
      <c r="N125" s="135"/>
      <c r="O125" s="135"/>
      <c r="P125" s="117"/>
      <c r="Q125" s="71">
        <f t="shared" si="9"/>
        <v>121</v>
      </c>
      <c r="R125" s="122">
        <v>0</v>
      </c>
      <c r="V125" s="116"/>
      <c r="W125" s="116"/>
      <c r="X125" s="124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</row>
    <row r="126" spans="2:44" s="112" customFormat="1" x14ac:dyDescent="0.2">
      <c r="B126" s="118">
        <v>43336</v>
      </c>
      <c r="C126" s="130">
        <f t="shared" si="5"/>
        <v>5</v>
      </c>
      <c r="D126" s="119" t="str">
        <f t="shared" si="6"/>
        <v>VIERNES</v>
      </c>
      <c r="E126" s="105">
        <v>1.00271233</v>
      </c>
      <c r="F126" s="105">
        <v>333.29</v>
      </c>
      <c r="G126" s="104">
        <f t="shared" si="7"/>
        <v>0.90048845370403796</v>
      </c>
      <c r="H126" s="125">
        <v>5.6124357464989998E-2</v>
      </c>
      <c r="I126" s="126">
        <f t="shared" si="8"/>
        <v>0</v>
      </c>
      <c r="J126" s="135"/>
      <c r="K126" s="135"/>
      <c r="L126" s="136"/>
      <c r="M126" s="135"/>
      <c r="N126" s="135"/>
      <c r="O126" s="135"/>
      <c r="P126" s="117"/>
      <c r="Q126" s="71">
        <f t="shared" si="9"/>
        <v>122</v>
      </c>
      <c r="R126" s="122">
        <v>0</v>
      </c>
      <c r="V126" s="116"/>
      <c r="W126" s="116"/>
      <c r="X126" s="124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</row>
    <row r="127" spans="2:44" s="112" customFormat="1" x14ac:dyDescent="0.2">
      <c r="B127" s="118">
        <v>43339</v>
      </c>
      <c r="C127" s="130">
        <f t="shared" si="5"/>
        <v>1</v>
      </c>
      <c r="D127" s="119" t="str">
        <f t="shared" si="6"/>
        <v>LUNES</v>
      </c>
      <c r="E127" s="105">
        <v>1.0026874699999999</v>
      </c>
      <c r="F127" s="105">
        <v>330.29</v>
      </c>
      <c r="G127" s="104">
        <f t="shared" si="7"/>
        <v>0.89238300391222802</v>
      </c>
      <c r="H127" s="125">
        <v>5.6124357464989998E-2</v>
      </c>
      <c r="I127" s="126">
        <f t="shared" si="8"/>
        <v>0</v>
      </c>
      <c r="J127" s="135"/>
      <c r="K127" s="135"/>
      <c r="L127" s="136"/>
      <c r="M127" s="135"/>
      <c r="N127" s="135"/>
      <c r="O127" s="135"/>
      <c r="P127" s="117"/>
      <c r="Q127" s="71">
        <f t="shared" si="9"/>
        <v>123</v>
      </c>
      <c r="R127" s="137">
        <v>0</v>
      </c>
      <c r="V127" s="116"/>
      <c r="W127" s="116"/>
      <c r="X127" s="124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</row>
    <row r="128" spans="2:44" s="112" customFormat="1" x14ac:dyDescent="0.2">
      <c r="B128" s="118">
        <v>43340</v>
      </c>
      <c r="C128" s="130">
        <f t="shared" si="5"/>
        <v>2</v>
      </c>
      <c r="D128" s="119" t="str">
        <f t="shared" si="6"/>
        <v>MARTES</v>
      </c>
      <c r="E128" s="105">
        <v>1.0026815099999999</v>
      </c>
      <c r="F128" s="105">
        <v>329.29</v>
      </c>
      <c r="G128" s="104">
        <f t="shared" si="7"/>
        <v>0.88968177034566998</v>
      </c>
      <c r="H128" s="125">
        <v>5.6121699385270001E-2</v>
      </c>
      <c r="I128" s="126">
        <f t="shared" si="8"/>
        <v>-4.736165875365E-5</v>
      </c>
      <c r="J128" s="135"/>
      <c r="K128" s="135"/>
      <c r="L128" s="136"/>
      <c r="M128" s="135"/>
      <c r="N128" s="135"/>
      <c r="O128" s="135"/>
      <c r="P128" s="117"/>
      <c r="Q128" s="71">
        <f t="shared" si="9"/>
        <v>124</v>
      </c>
      <c r="R128" s="122">
        <v>0</v>
      </c>
      <c r="V128" s="116"/>
      <c r="W128" s="116"/>
      <c r="X128" s="124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</row>
    <row r="129" spans="2:44" s="112" customFormat="1" x14ac:dyDescent="0.2">
      <c r="B129" s="118">
        <v>43341</v>
      </c>
      <c r="C129" s="130">
        <f t="shared" si="5"/>
        <v>3</v>
      </c>
      <c r="D129" s="119" t="str">
        <f t="shared" si="6"/>
        <v>MIERCOLES</v>
      </c>
      <c r="E129" s="105">
        <v>1.00267328</v>
      </c>
      <c r="F129" s="105">
        <v>328.29</v>
      </c>
      <c r="G129" s="104">
        <f t="shared" si="7"/>
        <v>0.88697995197783097</v>
      </c>
      <c r="H129" s="125">
        <v>5.6121699385270001E-2</v>
      </c>
      <c r="I129" s="126">
        <f t="shared" si="8"/>
        <v>0</v>
      </c>
      <c r="J129" s="135"/>
      <c r="K129" s="135"/>
      <c r="L129" s="136"/>
      <c r="M129" s="135"/>
      <c r="N129" s="135"/>
      <c r="O129" s="135"/>
      <c r="P129" s="117"/>
      <c r="Q129" s="71">
        <f t="shared" si="9"/>
        <v>125</v>
      </c>
      <c r="R129" s="122">
        <v>0</v>
      </c>
      <c r="V129" s="116"/>
      <c r="W129" s="116"/>
      <c r="X129" s="124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</row>
    <row r="130" spans="2:44" s="112" customFormat="1" x14ac:dyDescent="0.2">
      <c r="B130" s="118">
        <v>43342</v>
      </c>
      <c r="C130" s="130">
        <f t="shared" si="5"/>
        <v>4</v>
      </c>
      <c r="D130" s="119" t="str">
        <f t="shared" si="6"/>
        <v>JUEVES</v>
      </c>
      <c r="E130" s="105">
        <v>1.0026650800000001</v>
      </c>
      <c r="F130" s="105">
        <v>327.29000000000002</v>
      </c>
      <c r="G130" s="104">
        <f t="shared" si="7"/>
        <v>0.88427813360999297</v>
      </c>
      <c r="H130" s="125">
        <v>5.6121699385270001E-2</v>
      </c>
      <c r="I130" s="126">
        <f t="shared" si="8"/>
        <v>0</v>
      </c>
      <c r="J130" s="135"/>
      <c r="K130" s="135"/>
      <c r="L130" s="136"/>
      <c r="M130" s="135"/>
      <c r="N130" s="135"/>
      <c r="O130" s="135"/>
      <c r="P130" s="117"/>
      <c r="Q130" s="71">
        <f t="shared" si="9"/>
        <v>126</v>
      </c>
      <c r="R130" s="122">
        <v>0</v>
      </c>
      <c r="V130" s="116"/>
      <c r="W130" s="116"/>
      <c r="X130" s="124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</row>
    <row r="131" spans="2:44" s="112" customFormat="1" x14ac:dyDescent="0.2">
      <c r="B131" s="118">
        <v>43343</v>
      </c>
      <c r="C131" s="130">
        <f t="shared" si="5"/>
        <v>5</v>
      </c>
      <c r="D131" s="119" t="str">
        <f t="shared" si="6"/>
        <v>VIERNES</v>
      </c>
      <c r="E131" s="105">
        <v>1.0026568899999999</v>
      </c>
      <c r="F131" s="105">
        <v>326.29000000000002</v>
      </c>
      <c r="G131" s="104">
        <f t="shared" si="7"/>
        <v>0.88157631524215396</v>
      </c>
      <c r="H131" s="125">
        <v>5.6121699385270001E-2</v>
      </c>
      <c r="I131" s="126">
        <f t="shared" si="8"/>
        <v>0</v>
      </c>
      <c r="J131" s="135"/>
      <c r="K131" s="135"/>
      <c r="L131" s="136"/>
      <c r="M131" s="135"/>
      <c r="N131" s="135"/>
      <c r="O131" s="135"/>
      <c r="P131" s="117"/>
      <c r="Q131" s="71">
        <f t="shared" si="9"/>
        <v>127</v>
      </c>
      <c r="R131" s="122">
        <v>0</v>
      </c>
      <c r="V131" s="116"/>
      <c r="W131" s="116"/>
      <c r="X131" s="124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</row>
    <row r="132" spans="2:44" s="112" customFormat="1" x14ac:dyDescent="0.2">
      <c r="B132" s="118">
        <v>43346</v>
      </c>
      <c r="C132" s="130">
        <f t="shared" si="5"/>
        <v>1</v>
      </c>
      <c r="D132" s="119" t="str">
        <f t="shared" si="6"/>
        <v>LUNES</v>
      </c>
      <c r="E132" s="105">
        <v>1.0026324799999999</v>
      </c>
      <c r="F132" s="105">
        <v>323.29000000000002</v>
      </c>
      <c r="G132" s="104">
        <f t="shared" si="7"/>
        <v>0.87347086013863695</v>
      </c>
      <c r="H132" s="125">
        <v>5.6121699385270001E-2</v>
      </c>
      <c r="I132" s="126">
        <f t="shared" si="8"/>
        <v>0</v>
      </c>
      <c r="J132" s="135"/>
      <c r="K132" s="135"/>
      <c r="L132" s="136"/>
      <c r="M132" s="135"/>
      <c r="N132" s="135"/>
      <c r="O132" s="135"/>
      <c r="P132" s="117"/>
      <c r="Q132" s="71">
        <f t="shared" si="9"/>
        <v>128</v>
      </c>
      <c r="R132" s="122">
        <v>0</v>
      </c>
      <c r="V132" s="116"/>
      <c r="W132" s="116"/>
      <c r="X132" s="124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</row>
    <row r="133" spans="2:44" s="112" customFormat="1" x14ac:dyDescent="0.2">
      <c r="B133" s="118">
        <v>43347</v>
      </c>
      <c r="C133" s="130">
        <f t="shared" ref="C133:C196" si="10">WEEKDAY(B133,2)</f>
        <v>2</v>
      </c>
      <c r="D133" s="119" t="str">
        <f t="shared" ref="D133:D196" si="11">VLOOKUP(C133,$Y$5:$Z$11,2,0)</f>
        <v>MARTES</v>
      </c>
      <c r="E133" s="105">
        <v>1.0026244</v>
      </c>
      <c r="F133" s="105">
        <v>322.29000000000002</v>
      </c>
      <c r="G133" s="104">
        <f t="shared" ref="G133:G196" si="12">ROUND((F133/365)/(1+(H133/4)),$F$1)</f>
        <v>0.87076904177079795</v>
      </c>
      <c r="H133" s="125">
        <v>5.6121699385270001E-2</v>
      </c>
      <c r="I133" s="126">
        <f t="shared" si="8"/>
        <v>0</v>
      </c>
      <c r="J133" s="135"/>
      <c r="K133" s="135"/>
      <c r="L133" s="136"/>
      <c r="M133" s="135"/>
      <c r="N133" s="135"/>
      <c r="O133" s="135"/>
      <c r="P133" s="117"/>
      <c r="Q133" s="71">
        <f t="shared" si="9"/>
        <v>129</v>
      </c>
      <c r="R133" s="122">
        <v>0</v>
      </c>
      <c r="V133" s="116"/>
      <c r="W133" s="116"/>
      <c r="X133" s="124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</row>
    <row r="134" spans="2:44" s="112" customFormat="1" x14ac:dyDescent="0.2">
      <c r="B134" s="118">
        <v>43348</v>
      </c>
      <c r="C134" s="130">
        <f t="shared" si="10"/>
        <v>3</v>
      </c>
      <c r="D134" s="119" t="str">
        <f t="shared" si="11"/>
        <v>MIERCOLES</v>
      </c>
      <c r="E134" s="105">
        <v>1.00261632</v>
      </c>
      <c r="F134" s="105">
        <v>321.29000000000002</v>
      </c>
      <c r="G134" s="104">
        <f t="shared" si="12"/>
        <v>0.86806722340295905</v>
      </c>
      <c r="H134" s="125">
        <v>5.6121699385270001E-2</v>
      </c>
      <c r="I134" s="126">
        <f t="shared" ref="I134:I197" si="13">ROUND(LN(H134/H133),$F$1)</f>
        <v>0</v>
      </c>
      <c r="J134" s="135"/>
      <c r="K134" s="135"/>
      <c r="L134" s="136"/>
      <c r="M134" s="135"/>
      <c r="N134" s="135"/>
      <c r="O134" s="135"/>
      <c r="P134" s="117"/>
      <c r="Q134" s="71">
        <f t="shared" ref="Q134:Q197" si="14">Q133+1</f>
        <v>130</v>
      </c>
      <c r="R134" s="122">
        <v>0</v>
      </c>
      <c r="V134" s="116"/>
      <c r="W134" s="116"/>
      <c r="X134" s="124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</row>
    <row r="135" spans="2:44" s="112" customFormat="1" x14ac:dyDescent="0.2">
      <c r="B135" s="118">
        <v>43349</v>
      </c>
      <c r="C135" s="130">
        <f t="shared" si="10"/>
        <v>4</v>
      </c>
      <c r="D135" s="119" t="str">
        <f t="shared" si="11"/>
        <v>JUEVES</v>
      </c>
      <c r="E135" s="105">
        <v>1.00260828</v>
      </c>
      <c r="F135" s="105">
        <v>320.29000000000002</v>
      </c>
      <c r="G135" s="104">
        <f t="shared" si="12"/>
        <v>0.86536540503512005</v>
      </c>
      <c r="H135" s="125">
        <v>5.6121699385270001E-2</v>
      </c>
      <c r="I135" s="126">
        <f t="shared" si="13"/>
        <v>0</v>
      </c>
      <c r="J135" s="135"/>
      <c r="K135" s="135"/>
      <c r="L135" s="136"/>
      <c r="M135" s="135"/>
      <c r="N135" s="135"/>
      <c r="O135" s="135"/>
      <c r="P135" s="117"/>
      <c r="Q135" s="71">
        <f t="shared" si="14"/>
        <v>131</v>
      </c>
      <c r="R135" s="122">
        <v>0</v>
      </c>
      <c r="V135" s="116"/>
      <c r="W135" s="116"/>
      <c r="X135" s="124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</row>
    <row r="136" spans="2:44" s="112" customFormat="1" x14ac:dyDescent="0.2">
      <c r="B136" s="118">
        <v>43350</v>
      </c>
      <c r="C136" s="130">
        <f t="shared" si="10"/>
        <v>5</v>
      </c>
      <c r="D136" s="119" t="str">
        <f t="shared" si="11"/>
        <v>VIERNES</v>
      </c>
      <c r="E136" s="105">
        <v>1.00260025</v>
      </c>
      <c r="F136" s="105">
        <v>319.29000000000002</v>
      </c>
      <c r="G136" s="104">
        <f t="shared" si="12"/>
        <v>0.86266358666728105</v>
      </c>
      <c r="H136" s="125">
        <v>5.6121699385270001E-2</v>
      </c>
      <c r="I136" s="126">
        <f t="shared" si="13"/>
        <v>0</v>
      </c>
      <c r="J136" s="135"/>
      <c r="K136" s="135"/>
      <c r="L136" s="136"/>
      <c r="M136" s="135"/>
      <c r="N136" s="135"/>
      <c r="O136" s="135"/>
      <c r="P136" s="117"/>
      <c r="Q136" s="71">
        <f t="shared" si="14"/>
        <v>132</v>
      </c>
      <c r="R136" s="122">
        <v>0</v>
      </c>
      <c r="V136" s="116"/>
      <c r="W136" s="116"/>
      <c r="X136" s="124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</row>
    <row r="137" spans="2:44" s="112" customFormat="1" x14ac:dyDescent="0.2">
      <c r="B137" s="118">
        <v>43353</v>
      </c>
      <c r="C137" s="130">
        <f t="shared" si="10"/>
        <v>1</v>
      </c>
      <c r="D137" s="119" t="str">
        <f t="shared" si="11"/>
        <v>LUNES</v>
      </c>
      <c r="E137" s="105">
        <v>1.00257631</v>
      </c>
      <c r="F137" s="105">
        <v>316.29000000000002</v>
      </c>
      <c r="G137" s="104">
        <f t="shared" si="12"/>
        <v>0.85455813156376503</v>
      </c>
      <c r="H137" s="125">
        <v>5.6121699385270001E-2</v>
      </c>
      <c r="I137" s="126">
        <f t="shared" si="13"/>
        <v>0</v>
      </c>
      <c r="J137" s="135"/>
      <c r="K137" s="135"/>
      <c r="L137" s="136"/>
      <c r="M137" s="135"/>
      <c r="N137" s="135"/>
      <c r="O137" s="135"/>
      <c r="P137" s="117"/>
      <c r="Q137" s="71">
        <f t="shared" si="14"/>
        <v>133</v>
      </c>
      <c r="R137" s="122">
        <v>0</v>
      </c>
      <c r="V137" s="116"/>
      <c r="W137" s="116"/>
      <c r="X137" s="124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</row>
    <row r="138" spans="2:44" s="112" customFormat="1" x14ac:dyDescent="0.2">
      <c r="B138" s="118">
        <v>43354</v>
      </c>
      <c r="C138" s="130">
        <f t="shared" si="10"/>
        <v>2</v>
      </c>
      <c r="D138" s="119" t="str">
        <f t="shared" si="11"/>
        <v>MARTES</v>
      </c>
      <c r="E138" s="105">
        <v>1.00256838</v>
      </c>
      <c r="F138" s="105">
        <v>315.29000000000002</v>
      </c>
      <c r="G138" s="104">
        <f t="shared" si="12"/>
        <v>0.85185631319592603</v>
      </c>
      <c r="H138" s="125">
        <v>5.6121699385270001E-2</v>
      </c>
      <c r="I138" s="126">
        <f t="shared" si="13"/>
        <v>0</v>
      </c>
      <c r="J138" s="135"/>
      <c r="K138" s="135"/>
      <c r="L138" s="136"/>
      <c r="M138" s="135"/>
      <c r="N138" s="135"/>
      <c r="O138" s="135"/>
      <c r="P138" s="117"/>
      <c r="Q138" s="71">
        <f t="shared" si="14"/>
        <v>134</v>
      </c>
      <c r="R138" s="122">
        <v>0</v>
      </c>
      <c r="V138" s="116"/>
      <c r="W138" s="116"/>
      <c r="X138" s="124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</row>
    <row r="139" spans="2:44" s="112" customFormat="1" x14ac:dyDescent="0.2">
      <c r="B139" s="118">
        <v>43355</v>
      </c>
      <c r="C139" s="130">
        <f t="shared" si="10"/>
        <v>3</v>
      </c>
      <c r="D139" s="119" t="str">
        <f t="shared" si="11"/>
        <v>MIERCOLES</v>
      </c>
      <c r="E139" s="105">
        <v>1.00256046</v>
      </c>
      <c r="F139" s="105">
        <v>314.29000000000002</v>
      </c>
      <c r="G139" s="104">
        <f t="shared" si="12"/>
        <v>0.84915449482808703</v>
      </c>
      <c r="H139" s="125">
        <v>5.6121699385270001E-2</v>
      </c>
      <c r="I139" s="126">
        <f t="shared" si="13"/>
        <v>0</v>
      </c>
      <c r="J139" s="135"/>
      <c r="K139" s="135"/>
      <c r="L139" s="136"/>
      <c r="M139" s="135"/>
      <c r="N139" s="135"/>
      <c r="O139" s="135"/>
      <c r="P139" s="117"/>
      <c r="Q139" s="71">
        <f t="shared" si="14"/>
        <v>135</v>
      </c>
      <c r="R139" s="122">
        <v>0</v>
      </c>
      <c r="V139" s="116"/>
      <c r="W139" s="116"/>
      <c r="X139" s="124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</row>
    <row r="140" spans="2:44" s="112" customFormat="1" x14ac:dyDescent="0.2">
      <c r="B140" s="118">
        <v>43356</v>
      </c>
      <c r="C140" s="130">
        <f t="shared" si="10"/>
        <v>4</v>
      </c>
      <c r="D140" s="119" t="str">
        <f t="shared" si="11"/>
        <v>JUEVES</v>
      </c>
      <c r="E140" s="105">
        <v>1.0025525799999999</v>
      </c>
      <c r="F140" s="105">
        <v>313.29000000000002</v>
      </c>
      <c r="G140" s="104">
        <f t="shared" si="12"/>
        <v>0.84645267646024802</v>
      </c>
      <c r="H140" s="125">
        <v>5.6121699385270001E-2</v>
      </c>
      <c r="I140" s="126">
        <f t="shared" si="13"/>
        <v>0</v>
      </c>
      <c r="J140" s="135"/>
      <c r="K140" s="135"/>
      <c r="L140" s="136"/>
      <c r="M140" s="135"/>
      <c r="N140" s="135"/>
      <c r="O140" s="135"/>
      <c r="P140" s="117"/>
      <c r="Q140" s="71">
        <f t="shared" si="14"/>
        <v>136</v>
      </c>
      <c r="R140" s="122">
        <v>0</v>
      </c>
      <c r="V140" s="116"/>
      <c r="W140" s="116"/>
      <c r="X140" s="124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</row>
    <row r="141" spans="2:44" s="112" customFormat="1" x14ac:dyDescent="0.2">
      <c r="B141" s="118">
        <v>43357</v>
      </c>
      <c r="C141" s="130">
        <f t="shared" si="10"/>
        <v>5</v>
      </c>
      <c r="D141" s="119" t="str">
        <f t="shared" si="11"/>
        <v>VIERNES</v>
      </c>
      <c r="E141" s="105">
        <v>1.0025447199999999</v>
      </c>
      <c r="F141" s="105">
        <v>312.29000000000002</v>
      </c>
      <c r="G141" s="104">
        <f t="shared" si="12"/>
        <v>0.84375085809240902</v>
      </c>
      <c r="H141" s="125">
        <v>5.6121699385270001E-2</v>
      </c>
      <c r="I141" s="126">
        <f t="shared" si="13"/>
        <v>0</v>
      </c>
      <c r="J141" s="135"/>
      <c r="K141" s="135"/>
      <c r="L141" s="136"/>
      <c r="M141" s="135"/>
      <c r="N141" s="135"/>
      <c r="O141" s="135"/>
      <c r="P141" s="117"/>
      <c r="Q141" s="71">
        <f t="shared" si="14"/>
        <v>137</v>
      </c>
      <c r="R141" s="122">
        <v>0</v>
      </c>
      <c r="V141" s="116"/>
      <c r="W141" s="116"/>
      <c r="X141" s="124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</row>
    <row r="142" spans="2:44" s="112" customFormat="1" x14ac:dyDescent="0.2">
      <c r="B142" s="118">
        <v>43360</v>
      </c>
      <c r="C142" s="130">
        <f t="shared" si="10"/>
        <v>1</v>
      </c>
      <c r="D142" s="119" t="str">
        <f t="shared" si="11"/>
        <v>LUNES</v>
      </c>
      <c r="E142" s="105">
        <v>1.0025212400000001</v>
      </c>
      <c r="F142" s="105">
        <v>309.29000000000002</v>
      </c>
      <c r="G142" s="104">
        <f t="shared" si="12"/>
        <v>0.83564540298889201</v>
      </c>
      <c r="H142" s="125">
        <v>5.6121699385270001E-2</v>
      </c>
      <c r="I142" s="126">
        <f t="shared" si="13"/>
        <v>0</v>
      </c>
      <c r="J142" s="135"/>
      <c r="K142" s="135"/>
      <c r="L142" s="136"/>
      <c r="M142" s="135"/>
      <c r="N142" s="135"/>
      <c r="O142" s="135"/>
      <c r="P142" s="117"/>
      <c r="Q142" s="71">
        <f t="shared" si="14"/>
        <v>138</v>
      </c>
      <c r="R142" s="122">
        <v>0</v>
      </c>
      <c r="V142" s="116"/>
      <c r="W142" s="116"/>
      <c r="X142" s="124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</row>
    <row r="143" spans="2:44" s="112" customFormat="1" x14ac:dyDescent="0.2">
      <c r="B143" s="118">
        <v>43361</v>
      </c>
      <c r="C143" s="130">
        <f t="shared" si="10"/>
        <v>2</v>
      </c>
      <c r="D143" s="119" t="str">
        <f t="shared" si="11"/>
        <v>MARTES</v>
      </c>
      <c r="E143" s="105">
        <v>1.00251347</v>
      </c>
      <c r="F143" s="105">
        <v>308.29000000000002</v>
      </c>
      <c r="G143" s="104">
        <f t="shared" si="12"/>
        <v>0.832943584621053</v>
      </c>
      <c r="H143" s="125">
        <v>5.6121699385270001E-2</v>
      </c>
      <c r="I143" s="126">
        <f t="shared" si="13"/>
        <v>0</v>
      </c>
      <c r="J143" s="135"/>
      <c r="K143" s="135"/>
      <c r="L143" s="136"/>
      <c r="M143" s="135"/>
      <c r="N143" s="135"/>
      <c r="O143" s="135"/>
      <c r="P143" s="117"/>
      <c r="Q143" s="71">
        <f t="shared" si="14"/>
        <v>139</v>
      </c>
      <c r="R143" s="122">
        <v>0</v>
      </c>
      <c r="V143" s="116"/>
      <c r="W143" s="116"/>
      <c r="X143" s="124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</row>
    <row r="144" spans="2:44" s="112" customFormat="1" x14ac:dyDescent="0.2">
      <c r="B144" s="118">
        <v>43362</v>
      </c>
      <c r="C144" s="130">
        <f t="shared" si="10"/>
        <v>3</v>
      </c>
      <c r="D144" s="119" t="str">
        <f t="shared" si="11"/>
        <v>MIERCOLES</v>
      </c>
      <c r="E144" s="105">
        <v>1.0025057100000001</v>
      </c>
      <c r="F144" s="105">
        <v>307.29000000000002</v>
      </c>
      <c r="G144" s="104">
        <f t="shared" si="12"/>
        <v>0.830241766253215</v>
      </c>
      <c r="H144" s="125">
        <v>5.6121699385270001E-2</v>
      </c>
      <c r="I144" s="126">
        <f t="shared" si="13"/>
        <v>0</v>
      </c>
      <c r="J144" s="135"/>
      <c r="K144" s="135"/>
      <c r="L144" s="136"/>
      <c r="M144" s="135"/>
      <c r="N144" s="135"/>
      <c r="O144" s="135"/>
      <c r="P144" s="117"/>
      <c r="Q144" s="71">
        <f t="shared" si="14"/>
        <v>140</v>
      </c>
      <c r="R144" s="122">
        <v>0</v>
      </c>
      <c r="V144" s="116"/>
      <c r="W144" s="116"/>
      <c r="X144" s="124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</row>
    <row r="145" spans="2:44" s="112" customFormat="1" x14ac:dyDescent="0.2">
      <c r="B145" s="118">
        <v>43363</v>
      </c>
      <c r="C145" s="130">
        <f t="shared" si="10"/>
        <v>4</v>
      </c>
      <c r="D145" s="119" t="str">
        <f t="shared" si="11"/>
        <v>JUEVES</v>
      </c>
      <c r="E145" s="105">
        <v>1.00249798</v>
      </c>
      <c r="F145" s="105">
        <v>306.29000000000002</v>
      </c>
      <c r="G145" s="104">
        <f t="shared" si="12"/>
        <v>0.82753994788537599</v>
      </c>
      <c r="H145" s="125">
        <v>5.6121699385270001E-2</v>
      </c>
      <c r="I145" s="126">
        <f t="shared" si="13"/>
        <v>0</v>
      </c>
      <c r="J145" s="135"/>
      <c r="K145" s="135"/>
      <c r="L145" s="136"/>
      <c r="M145" s="135"/>
      <c r="N145" s="135"/>
      <c r="O145" s="135"/>
      <c r="P145" s="117"/>
      <c r="Q145" s="71">
        <f t="shared" si="14"/>
        <v>141</v>
      </c>
      <c r="R145" s="122">
        <v>0</v>
      </c>
      <c r="V145" s="116"/>
      <c r="W145" s="116"/>
      <c r="X145" s="124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</row>
    <row r="146" spans="2:44" s="112" customFormat="1" x14ac:dyDescent="0.2">
      <c r="B146" s="118">
        <v>43364</v>
      </c>
      <c r="C146" s="130">
        <f t="shared" si="10"/>
        <v>5</v>
      </c>
      <c r="D146" s="119" t="str">
        <f t="shared" si="11"/>
        <v>VIERNES</v>
      </c>
      <c r="E146" s="105">
        <v>1.00249028</v>
      </c>
      <c r="F146" s="105">
        <v>305.29000000000002</v>
      </c>
      <c r="G146" s="104">
        <f t="shared" si="12"/>
        <v>0.82483812951753699</v>
      </c>
      <c r="H146" s="125">
        <v>5.6121699385270001E-2</v>
      </c>
      <c r="I146" s="126">
        <f t="shared" si="13"/>
        <v>0</v>
      </c>
      <c r="J146" s="135"/>
      <c r="K146" s="135"/>
      <c r="L146" s="136"/>
      <c r="M146" s="135"/>
      <c r="N146" s="135"/>
      <c r="O146" s="135"/>
      <c r="P146" s="117"/>
      <c r="Q146" s="71">
        <f t="shared" si="14"/>
        <v>142</v>
      </c>
      <c r="R146" s="122">
        <v>0</v>
      </c>
      <c r="V146" s="116"/>
      <c r="W146" s="116"/>
      <c r="X146" s="124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</row>
    <row r="147" spans="2:44" s="112" customFormat="1" x14ac:dyDescent="0.2">
      <c r="B147" s="118">
        <v>43367</v>
      </c>
      <c r="C147" s="130">
        <f t="shared" si="10"/>
        <v>1</v>
      </c>
      <c r="D147" s="119" t="str">
        <f t="shared" si="11"/>
        <v>LUNES</v>
      </c>
      <c r="E147" s="105">
        <v>1.0024672800000001</v>
      </c>
      <c r="F147" s="105">
        <v>302.29000000000002</v>
      </c>
      <c r="G147" s="104">
        <f t="shared" si="12"/>
        <v>0.81673267441401998</v>
      </c>
      <c r="H147" s="125">
        <v>5.6121699385270001E-2</v>
      </c>
      <c r="I147" s="126">
        <f t="shared" si="13"/>
        <v>0</v>
      </c>
      <c r="J147" s="135"/>
      <c r="K147" s="135"/>
      <c r="L147" s="136"/>
      <c r="M147" s="135"/>
      <c r="N147" s="135"/>
      <c r="O147" s="135"/>
      <c r="P147" s="117"/>
      <c r="Q147" s="71">
        <f t="shared" si="14"/>
        <v>143</v>
      </c>
      <c r="R147" s="122">
        <v>0</v>
      </c>
      <c r="V147" s="116"/>
      <c r="W147" s="116"/>
      <c r="X147" s="124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</row>
    <row r="148" spans="2:44" s="112" customFormat="1" x14ac:dyDescent="0.2">
      <c r="B148" s="118">
        <v>43368</v>
      </c>
      <c r="C148" s="130">
        <f t="shared" si="10"/>
        <v>2</v>
      </c>
      <c r="D148" s="119" t="str">
        <f t="shared" si="11"/>
        <v>MARTES</v>
      </c>
      <c r="E148" s="105">
        <v>1.0024596699999999</v>
      </c>
      <c r="F148" s="105">
        <v>301.29000000000002</v>
      </c>
      <c r="G148" s="104">
        <f t="shared" si="12"/>
        <v>0.81403085604618097</v>
      </c>
      <c r="H148" s="125">
        <v>5.6121699385270001E-2</v>
      </c>
      <c r="I148" s="126">
        <f t="shared" si="13"/>
        <v>0</v>
      </c>
      <c r="J148" s="97"/>
      <c r="K148" s="97"/>
      <c r="L148" s="71"/>
      <c r="M148" s="97"/>
      <c r="N148" s="97"/>
      <c r="O148" s="97"/>
      <c r="P148" s="117"/>
      <c r="Q148" s="71">
        <f t="shared" si="14"/>
        <v>144</v>
      </c>
      <c r="R148" s="122">
        <v>0</v>
      </c>
      <c r="V148" s="116"/>
      <c r="W148" s="116"/>
      <c r="X148" s="124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</row>
    <row r="149" spans="2:44" s="112" customFormat="1" x14ac:dyDescent="0.2">
      <c r="B149" s="118">
        <v>43369</v>
      </c>
      <c r="C149" s="130">
        <f t="shared" si="10"/>
        <v>3</v>
      </c>
      <c r="D149" s="119" t="str">
        <f t="shared" si="11"/>
        <v>MIERCOLES</v>
      </c>
      <c r="E149" s="105">
        <v>1.0024520800000001</v>
      </c>
      <c r="F149" s="105">
        <v>300.29000000000002</v>
      </c>
      <c r="G149" s="104">
        <f t="shared" si="12"/>
        <v>0.81132903767834197</v>
      </c>
      <c r="H149" s="125">
        <v>5.6121699385270001E-2</v>
      </c>
      <c r="I149" s="126">
        <f t="shared" si="13"/>
        <v>0</v>
      </c>
      <c r="J149" s="97"/>
      <c r="K149" s="97"/>
      <c r="L149" s="71"/>
      <c r="M149" s="97"/>
      <c r="N149" s="97"/>
      <c r="O149" s="97"/>
      <c r="P149" s="117"/>
      <c r="Q149" s="71">
        <f t="shared" si="14"/>
        <v>145</v>
      </c>
      <c r="R149" s="122">
        <v>0</v>
      </c>
      <c r="V149" s="116"/>
      <c r="W149" s="116"/>
      <c r="X149" s="124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</row>
    <row r="150" spans="2:44" s="112" customFormat="1" x14ac:dyDescent="0.2">
      <c r="B150" s="118">
        <v>43370</v>
      </c>
      <c r="C150" s="130">
        <f t="shared" si="10"/>
        <v>4</v>
      </c>
      <c r="D150" s="119" t="str">
        <f t="shared" si="11"/>
        <v>JUEVES</v>
      </c>
      <c r="E150" s="105">
        <v>1.0024445</v>
      </c>
      <c r="F150" s="105">
        <v>299.29000000000002</v>
      </c>
      <c r="G150" s="104">
        <f t="shared" si="12"/>
        <v>0.80862721931050296</v>
      </c>
      <c r="H150" s="125">
        <v>5.6121699385270001E-2</v>
      </c>
      <c r="I150" s="126">
        <f t="shared" si="13"/>
        <v>0</v>
      </c>
      <c r="J150" s="97"/>
      <c r="K150" s="97"/>
      <c r="L150" s="71"/>
      <c r="M150" s="97"/>
      <c r="N150" s="97"/>
      <c r="O150" s="97"/>
      <c r="P150" s="117"/>
      <c r="Q150" s="71">
        <f t="shared" si="14"/>
        <v>146</v>
      </c>
      <c r="R150" s="122">
        <v>0</v>
      </c>
      <c r="V150" s="116"/>
      <c r="W150" s="116"/>
      <c r="X150" s="124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</row>
    <row r="151" spans="2:44" s="112" customFormat="1" x14ac:dyDescent="0.2">
      <c r="B151" s="118">
        <v>43371</v>
      </c>
      <c r="C151" s="130">
        <f t="shared" si="10"/>
        <v>5</v>
      </c>
      <c r="D151" s="119" t="str">
        <f t="shared" si="11"/>
        <v>VIERNES</v>
      </c>
      <c r="E151" s="105">
        <v>1.0024369500000001</v>
      </c>
      <c r="F151" s="105">
        <v>298.29000000000002</v>
      </c>
      <c r="G151" s="104">
        <f t="shared" si="12"/>
        <v>0.80592540094266496</v>
      </c>
      <c r="H151" s="125">
        <v>5.6121699385270001E-2</v>
      </c>
      <c r="I151" s="126">
        <f t="shared" si="13"/>
        <v>0</v>
      </c>
      <c r="J151" s="97"/>
      <c r="K151" s="97"/>
      <c r="L151" s="71"/>
      <c r="M151" s="97"/>
      <c r="N151" s="97"/>
      <c r="O151" s="97"/>
      <c r="P151" s="117"/>
      <c r="Q151" s="71">
        <f t="shared" si="14"/>
        <v>147</v>
      </c>
      <c r="R151" s="122">
        <v>0</v>
      </c>
      <c r="V151" s="116"/>
      <c r="W151" s="116"/>
      <c r="X151" s="124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</row>
    <row r="152" spans="2:44" s="112" customFormat="1" x14ac:dyDescent="0.2">
      <c r="B152" s="118">
        <v>43374</v>
      </c>
      <c r="C152" s="130">
        <f t="shared" si="10"/>
        <v>1</v>
      </c>
      <c r="D152" s="119" t="str">
        <f t="shared" si="11"/>
        <v>LUNES</v>
      </c>
      <c r="E152" s="105">
        <v>1.0036247300000001</v>
      </c>
      <c r="F152" s="105">
        <v>295.29000000000002</v>
      </c>
      <c r="G152" s="104">
        <f t="shared" si="12"/>
        <v>0.79812668342312199</v>
      </c>
      <c r="H152" s="125">
        <v>5.4562842882640003E-2</v>
      </c>
      <c r="I152" s="126">
        <f t="shared" si="13"/>
        <v>-2.8169418254885802E-2</v>
      </c>
      <c r="J152" s="97"/>
      <c r="K152" s="97"/>
      <c r="L152" s="71"/>
      <c r="M152" s="97"/>
      <c r="N152" s="97"/>
      <c r="O152" s="97"/>
      <c r="P152" s="117"/>
      <c r="Q152" s="71">
        <f t="shared" si="14"/>
        <v>148</v>
      </c>
      <c r="R152" s="122">
        <v>0</v>
      </c>
      <c r="V152" s="116"/>
      <c r="W152" s="116"/>
      <c r="X152" s="124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</row>
    <row r="153" spans="2:44" s="112" customFormat="1" x14ac:dyDescent="0.2">
      <c r="B153" s="118">
        <v>43375</v>
      </c>
      <c r="C153" s="130">
        <f t="shared" si="10"/>
        <v>2</v>
      </c>
      <c r="D153" s="119" t="str">
        <f t="shared" si="11"/>
        <v>MARTES</v>
      </c>
      <c r="E153" s="105">
        <v>1.00361334</v>
      </c>
      <c r="F153" s="105">
        <v>294.29000000000002</v>
      </c>
      <c r="G153" s="104">
        <f t="shared" si="12"/>
        <v>0.79542382628802399</v>
      </c>
      <c r="H153" s="125">
        <v>5.4562842882640003E-2</v>
      </c>
      <c r="I153" s="126">
        <f t="shared" si="13"/>
        <v>0</v>
      </c>
      <c r="J153" s="97"/>
      <c r="K153" s="97"/>
      <c r="L153" s="71"/>
      <c r="M153" s="97"/>
      <c r="N153" s="97"/>
      <c r="O153" s="97"/>
      <c r="P153" s="117"/>
      <c r="Q153" s="71">
        <f t="shared" si="14"/>
        <v>149</v>
      </c>
      <c r="R153" s="122">
        <v>0</v>
      </c>
      <c r="V153" s="116"/>
      <c r="W153" s="116"/>
      <c r="X153" s="124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</row>
    <row r="154" spans="2:44" s="112" customFormat="1" x14ac:dyDescent="0.2">
      <c r="B154" s="118">
        <v>43376</v>
      </c>
      <c r="C154" s="130">
        <f t="shared" si="10"/>
        <v>3</v>
      </c>
      <c r="D154" s="119" t="str">
        <f t="shared" si="11"/>
        <v>MIERCOLES</v>
      </c>
      <c r="E154" s="105">
        <v>1.0036019899999999</v>
      </c>
      <c r="F154" s="105">
        <v>293.29000000000002</v>
      </c>
      <c r="G154" s="104">
        <f t="shared" si="12"/>
        <v>0.792720969152926</v>
      </c>
      <c r="H154" s="125">
        <v>5.4562842882640003E-2</v>
      </c>
      <c r="I154" s="126">
        <f t="shared" si="13"/>
        <v>0</v>
      </c>
      <c r="J154" s="97"/>
      <c r="K154" s="97"/>
      <c r="L154" s="71"/>
      <c r="M154" s="97"/>
      <c r="N154" s="97"/>
      <c r="O154" s="97"/>
      <c r="P154" s="117"/>
      <c r="Q154" s="71">
        <f t="shared" si="14"/>
        <v>150</v>
      </c>
      <c r="R154" s="122">
        <v>0</v>
      </c>
      <c r="V154" s="116"/>
      <c r="W154" s="116"/>
      <c r="X154" s="124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</row>
    <row r="155" spans="2:44" s="112" customFormat="1" x14ac:dyDescent="0.2">
      <c r="B155" s="118">
        <v>43377</v>
      </c>
      <c r="C155" s="130">
        <f t="shared" si="10"/>
        <v>4</v>
      </c>
      <c r="D155" s="119" t="str">
        <f t="shared" si="11"/>
        <v>JUEVES</v>
      </c>
      <c r="E155" s="105">
        <v>1.00359065</v>
      </c>
      <c r="F155" s="105">
        <v>292.29000000000002</v>
      </c>
      <c r="G155" s="104">
        <f t="shared" si="12"/>
        <v>0.79001811201782801</v>
      </c>
      <c r="H155" s="125">
        <v>5.4562842882640003E-2</v>
      </c>
      <c r="I155" s="126">
        <f t="shared" si="13"/>
        <v>0</v>
      </c>
      <c r="J155" s="97"/>
      <c r="K155" s="97"/>
      <c r="L155" s="71"/>
      <c r="M155" s="97"/>
      <c r="N155" s="97"/>
      <c r="O155" s="97"/>
      <c r="P155" s="117"/>
      <c r="Q155" s="71">
        <f t="shared" si="14"/>
        <v>151</v>
      </c>
      <c r="R155" s="122">
        <v>0</v>
      </c>
      <c r="V155" s="116"/>
      <c r="W155" s="116"/>
      <c r="X155" s="124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</row>
    <row r="156" spans="2:44" s="112" customFormat="1" x14ac:dyDescent="0.2">
      <c r="B156" s="118">
        <v>43378</v>
      </c>
      <c r="C156" s="130">
        <f t="shared" si="10"/>
        <v>5</v>
      </c>
      <c r="D156" s="119" t="str">
        <f t="shared" si="11"/>
        <v>VIERNES</v>
      </c>
      <c r="E156" s="105">
        <v>1.00357933</v>
      </c>
      <c r="F156" s="105">
        <v>291.29000000000002</v>
      </c>
      <c r="G156" s="104">
        <f t="shared" si="12"/>
        <v>0.78731525488273002</v>
      </c>
      <c r="H156" s="125">
        <v>5.4562842882640003E-2</v>
      </c>
      <c r="I156" s="126">
        <f t="shared" si="13"/>
        <v>0</v>
      </c>
      <c r="J156" s="97"/>
      <c r="K156" s="97"/>
      <c r="L156" s="71"/>
      <c r="M156" s="97"/>
      <c r="N156" s="97"/>
      <c r="O156" s="97"/>
      <c r="P156" s="117"/>
      <c r="Q156" s="71">
        <f t="shared" si="14"/>
        <v>152</v>
      </c>
      <c r="R156" s="122">
        <v>0</v>
      </c>
      <c r="V156" s="116"/>
      <c r="W156" s="116"/>
      <c r="X156" s="124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</row>
    <row r="157" spans="2:44" s="112" customFormat="1" x14ac:dyDescent="0.2">
      <c r="B157" s="118">
        <v>43381</v>
      </c>
      <c r="C157" s="130">
        <f t="shared" si="10"/>
        <v>1</v>
      </c>
      <c r="D157" s="119" t="str">
        <f t="shared" si="11"/>
        <v>LUNES</v>
      </c>
      <c r="E157" s="105">
        <v>1.0035455200000001</v>
      </c>
      <c r="F157" s="105">
        <v>288.29000000000002</v>
      </c>
      <c r="G157" s="104">
        <f t="shared" si="12"/>
        <v>0.77920668347743605</v>
      </c>
      <c r="H157" s="125">
        <v>5.4562842882640003E-2</v>
      </c>
      <c r="I157" s="126">
        <f t="shared" si="13"/>
        <v>0</v>
      </c>
      <c r="J157" s="97"/>
      <c r="K157" s="97"/>
      <c r="L157" s="71"/>
      <c r="M157" s="97"/>
      <c r="N157" s="97"/>
      <c r="O157" s="97"/>
      <c r="P157" s="117"/>
      <c r="Q157" s="71">
        <f t="shared" si="14"/>
        <v>153</v>
      </c>
      <c r="R157" s="122">
        <v>0</v>
      </c>
      <c r="V157" s="116"/>
      <c r="W157" s="116"/>
      <c r="X157" s="124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</row>
    <row r="158" spans="2:44" s="112" customFormat="1" x14ac:dyDescent="0.2">
      <c r="B158" s="118">
        <v>43382</v>
      </c>
      <c r="C158" s="130">
        <f t="shared" si="10"/>
        <v>2</v>
      </c>
      <c r="D158" s="119" t="str">
        <f t="shared" si="11"/>
        <v>MARTES</v>
      </c>
      <c r="E158" s="105">
        <v>1.00353428</v>
      </c>
      <c r="F158" s="105">
        <v>287.29000000000002</v>
      </c>
      <c r="G158" s="104">
        <f t="shared" si="12"/>
        <v>0.77650382634233694</v>
      </c>
      <c r="H158" s="125">
        <v>5.4562842882640003E-2</v>
      </c>
      <c r="I158" s="126">
        <f t="shared" si="13"/>
        <v>0</v>
      </c>
      <c r="J158" s="97"/>
      <c r="K158" s="97"/>
      <c r="L158" s="71"/>
      <c r="M158" s="97"/>
      <c r="N158" s="97"/>
      <c r="O158" s="97"/>
      <c r="P158" s="117"/>
      <c r="Q158" s="71">
        <f t="shared" si="14"/>
        <v>154</v>
      </c>
      <c r="R158" s="122">
        <v>0</v>
      </c>
      <c r="V158" s="116"/>
      <c r="W158" s="116"/>
      <c r="X158" s="124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</row>
    <row r="159" spans="2:44" s="112" customFormat="1" x14ac:dyDescent="0.2">
      <c r="B159" s="118">
        <v>43383</v>
      </c>
      <c r="C159" s="130">
        <f t="shared" si="10"/>
        <v>3</v>
      </c>
      <c r="D159" s="119" t="str">
        <f t="shared" si="11"/>
        <v>MIERCOLES</v>
      </c>
      <c r="E159" s="105">
        <v>1.0035230799999999</v>
      </c>
      <c r="F159" s="105">
        <v>286.29000000000002</v>
      </c>
      <c r="G159" s="104">
        <f t="shared" si="12"/>
        <v>0.77380096920723895</v>
      </c>
      <c r="H159" s="125">
        <v>5.4562842882640003E-2</v>
      </c>
      <c r="I159" s="126">
        <f t="shared" si="13"/>
        <v>0</v>
      </c>
      <c r="J159" s="97"/>
      <c r="K159" s="97"/>
      <c r="L159" s="71"/>
      <c r="M159" s="97"/>
      <c r="N159" s="97"/>
      <c r="O159" s="97"/>
      <c r="P159" s="117"/>
      <c r="Q159" s="71">
        <f t="shared" si="14"/>
        <v>155</v>
      </c>
      <c r="R159" s="122">
        <v>0</v>
      </c>
      <c r="V159" s="116"/>
      <c r="W159" s="116"/>
      <c r="X159" s="124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</row>
    <row r="160" spans="2:44" s="112" customFormat="1" x14ac:dyDescent="0.2">
      <c r="B160" s="118">
        <v>43384</v>
      </c>
      <c r="C160" s="130">
        <f t="shared" si="10"/>
        <v>4</v>
      </c>
      <c r="D160" s="119" t="str">
        <f t="shared" si="11"/>
        <v>JUEVES</v>
      </c>
      <c r="E160" s="105">
        <v>1.00351188</v>
      </c>
      <c r="F160" s="105">
        <v>285.29000000000002</v>
      </c>
      <c r="G160" s="104">
        <f t="shared" si="12"/>
        <v>0.77109811207214096</v>
      </c>
      <c r="H160" s="125">
        <v>5.4562842882640003E-2</v>
      </c>
      <c r="I160" s="126">
        <f t="shared" si="13"/>
        <v>0</v>
      </c>
      <c r="J160" s="97"/>
      <c r="K160" s="97"/>
      <c r="L160" s="71"/>
      <c r="M160" s="97"/>
      <c r="N160" s="97"/>
      <c r="O160" s="97"/>
      <c r="P160" s="117"/>
      <c r="Q160" s="71">
        <f t="shared" si="14"/>
        <v>156</v>
      </c>
      <c r="R160" s="122">
        <v>0</v>
      </c>
      <c r="V160" s="116"/>
      <c r="W160" s="116"/>
      <c r="X160" s="124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</row>
    <row r="161" spans="2:44" s="112" customFormat="1" x14ac:dyDescent="0.2">
      <c r="B161" s="118">
        <v>43385</v>
      </c>
      <c r="C161" s="130">
        <f t="shared" si="10"/>
        <v>5</v>
      </c>
      <c r="D161" s="119" t="str">
        <f t="shared" si="11"/>
        <v>VIERNES</v>
      </c>
      <c r="E161" s="105">
        <v>1.0035007199999999</v>
      </c>
      <c r="F161" s="105">
        <v>284.29000000000002</v>
      </c>
      <c r="G161" s="104">
        <f t="shared" si="12"/>
        <v>0.76839525493704297</v>
      </c>
      <c r="H161" s="125">
        <v>5.4562842882640003E-2</v>
      </c>
      <c r="I161" s="126">
        <f t="shared" si="13"/>
        <v>0</v>
      </c>
      <c r="J161" s="97"/>
      <c r="K161" s="97"/>
      <c r="L161" s="71"/>
      <c r="M161" s="97"/>
      <c r="N161" s="97"/>
      <c r="O161" s="97"/>
      <c r="P161" s="117"/>
      <c r="Q161" s="71">
        <f t="shared" si="14"/>
        <v>157</v>
      </c>
      <c r="R161" s="122">
        <v>0</v>
      </c>
      <c r="V161" s="116"/>
      <c r="W161" s="116"/>
      <c r="X161" s="124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</row>
    <row r="162" spans="2:44" s="112" customFormat="1" x14ac:dyDescent="0.2">
      <c r="B162" s="118">
        <v>43388</v>
      </c>
      <c r="C162" s="130">
        <f t="shared" si="10"/>
        <v>1</v>
      </c>
      <c r="D162" s="119" t="str">
        <f t="shared" si="11"/>
        <v>LUNES</v>
      </c>
      <c r="E162" s="105">
        <v>1.0034673599999999</v>
      </c>
      <c r="F162" s="105">
        <v>281.29000000000002</v>
      </c>
      <c r="G162" s="104">
        <f t="shared" si="12"/>
        <v>0.760286683531749</v>
      </c>
      <c r="H162" s="125">
        <v>5.4562842882640003E-2</v>
      </c>
      <c r="I162" s="126">
        <f t="shared" si="13"/>
        <v>0</v>
      </c>
      <c r="J162" s="97"/>
      <c r="K162" s="97"/>
      <c r="L162" s="71"/>
      <c r="M162" s="97"/>
      <c r="N162" s="97"/>
      <c r="O162" s="97"/>
      <c r="P162" s="117"/>
      <c r="Q162" s="71">
        <f t="shared" si="14"/>
        <v>158</v>
      </c>
      <c r="R162" s="122">
        <v>0</v>
      </c>
      <c r="V162" s="116"/>
      <c r="W162" s="116"/>
      <c r="X162" s="124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</row>
    <row r="163" spans="2:44" s="112" customFormat="1" x14ac:dyDescent="0.2">
      <c r="B163" s="118">
        <v>43389</v>
      </c>
      <c r="C163" s="130">
        <f t="shared" si="10"/>
        <v>2</v>
      </c>
      <c r="D163" s="119" t="str">
        <f t="shared" si="11"/>
        <v>MARTES</v>
      </c>
      <c r="E163" s="105">
        <v>1.00345627</v>
      </c>
      <c r="F163" s="105">
        <v>280.29000000000002</v>
      </c>
      <c r="G163" s="104">
        <f t="shared" si="12"/>
        <v>0.75758382639665101</v>
      </c>
      <c r="H163" s="125">
        <v>5.4562842882640003E-2</v>
      </c>
      <c r="I163" s="126">
        <f t="shared" si="13"/>
        <v>0</v>
      </c>
      <c r="J163" s="97"/>
      <c r="K163" s="97"/>
      <c r="L163" s="71"/>
      <c r="M163" s="97"/>
      <c r="N163" s="97"/>
      <c r="O163" s="97"/>
      <c r="P163" s="117"/>
      <c r="Q163" s="71">
        <f t="shared" si="14"/>
        <v>159</v>
      </c>
      <c r="R163" s="122">
        <v>0</v>
      </c>
      <c r="V163" s="116"/>
      <c r="W163" s="116"/>
      <c r="X163" s="124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</row>
    <row r="164" spans="2:44" s="112" customFormat="1" x14ac:dyDescent="0.2">
      <c r="B164" s="118">
        <v>43390</v>
      </c>
      <c r="C164" s="130">
        <f t="shared" si="10"/>
        <v>3</v>
      </c>
      <c r="D164" s="119" t="str">
        <f t="shared" si="11"/>
        <v>MIERCOLES</v>
      </c>
      <c r="E164" s="105">
        <v>1.0034452199999999</v>
      </c>
      <c r="F164" s="105">
        <v>279.29000000000002</v>
      </c>
      <c r="G164" s="104">
        <f t="shared" si="12"/>
        <v>0.75488096926155301</v>
      </c>
      <c r="H164" s="125">
        <v>5.4562842882640003E-2</v>
      </c>
      <c r="I164" s="126">
        <f t="shared" si="13"/>
        <v>0</v>
      </c>
      <c r="J164" s="97"/>
      <c r="K164" s="97"/>
      <c r="L164" s="71"/>
      <c r="M164" s="97"/>
      <c r="N164" s="97"/>
      <c r="O164" s="97"/>
      <c r="P164" s="117"/>
      <c r="Q164" s="71">
        <f t="shared" si="14"/>
        <v>160</v>
      </c>
      <c r="R164" s="122">
        <v>0</v>
      </c>
      <c r="V164" s="116"/>
      <c r="W164" s="116"/>
      <c r="X164" s="124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</row>
    <row r="165" spans="2:44" s="112" customFormat="1" x14ac:dyDescent="0.2">
      <c r="B165" s="118">
        <v>43391</v>
      </c>
      <c r="C165" s="130">
        <f t="shared" si="10"/>
        <v>4</v>
      </c>
      <c r="D165" s="119" t="str">
        <f t="shared" si="11"/>
        <v>JUEVES</v>
      </c>
      <c r="E165" s="105">
        <v>1.0034341899999999</v>
      </c>
      <c r="F165" s="105">
        <v>278.29000000000002</v>
      </c>
      <c r="G165" s="104">
        <f t="shared" si="12"/>
        <v>0.75217811212645402</v>
      </c>
      <c r="H165" s="125">
        <v>5.4562842882640003E-2</v>
      </c>
      <c r="I165" s="126">
        <f t="shared" si="13"/>
        <v>0</v>
      </c>
      <c r="J165" s="97"/>
      <c r="K165" s="97"/>
      <c r="L165" s="71"/>
      <c r="M165" s="97"/>
      <c r="N165" s="97"/>
      <c r="O165" s="97"/>
      <c r="P165" s="117"/>
      <c r="Q165" s="71">
        <f t="shared" si="14"/>
        <v>161</v>
      </c>
      <c r="R165" s="122">
        <v>0</v>
      </c>
      <c r="V165" s="116"/>
      <c r="W165" s="116"/>
      <c r="X165" s="124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</row>
    <row r="166" spans="2:44" s="112" customFormat="1" x14ac:dyDescent="0.2">
      <c r="B166" s="118">
        <v>43392</v>
      </c>
      <c r="C166" s="130">
        <f t="shared" si="10"/>
        <v>5</v>
      </c>
      <c r="D166" s="119" t="str">
        <f t="shared" si="11"/>
        <v>VIERNES</v>
      </c>
      <c r="E166" s="105">
        <v>1.00342317</v>
      </c>
      <c r="F166" s="105">
        <v>277.29000000000002</v>
      </c>
      <c r="G166" s="104">
        <f t="shared" si="12"/>
        <v>0.74947525499135603</v>
      </c>
      <c r="H166" s="125">
        <v>5.4562842882640003E-2</v>
      </c>
      <c r="I166" s="126">
        <f t="shared" si="13"/>
        <v>0</v>
      </c>
      <c r="J166" s="97"/>
      <c r="K166" s="97"/>
      <c r="L166" s="71"/>
      <c r="M166" s="97"/>
      <c r="N166" s="97"/>
      <c r="O166" s="97"/>
      <c r="P166" s="117"/>
      <c r="Q166" s="71">
        <f t="shared" si="14"/>
        <v>162</v>
      </c>
      <c r="R166" s="122">
        <v>0</v>
      </c>
      <c r="V166" s="116"/>
      <c r="W166" s="116"/>
      <c r="X166" s="124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</row>
    <row r="167" spans="2:44" s="112" customFormat="1" x14ac:dyDescent="0.2">
      <c r="B167" s="118">
        <v>43395</v>
      </c>
      <c r="C167" s="130">
        <f t="shared" si="10"/>
        <v>1</v>
      </c>
      <c r="D167" s="119" t="str">
        <f t="shared" si="11"/>
        <v>LUNES</v>
      </c>
      <c r="E167" s="105">
        <v>1.00339025</v>
      </c>
      <c r="F167" s="105">
        <v>274.29000000000002</v>
      </c>
      <c r="G167" s="104">
        <f t="shared" si="12"/>
        <v>0.74136668358606195</v>
      </c>
      <c r="H167" s="125">
        <v>5.4562842882640003E-2</v>
      </c>
      <c r="I167" s="126">
        <f t="shared" si="13"/>
        <v>0</v>
      </c>
      <c r="J167" s="97"/>
      <c r="K167" s="97"/>
      <c r="L167" s="71"/>
      <c r="M167" s="97"/>
      <c r="N167" s="97"/>
      <c r="O167" s="97"/>
      <c r="P167" s="117"/>
      <c r="Q167" s="71">
        <f t="shared" si="14"/>
        <v>163</v>
      </c>
      <c r="R167" s="122">
        <v>0</v>
      </c>
      <c r="V167" s="116"/>
      <c r="W167" s="116"/>
      <c r="X167" s="124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</row>
    <row r="168" spans="2:44" s="112" customFormat="1" x14ac:dyDescent="0.2">
      <c r="B168" s="118">
        <v>43397</v>
      </c>
      <c r="C168" s="130">
        <f t="shared" si="10"/>
        <v>3</v>
      </c>
      <c r="D168" s="119" t="str">
        <f t="shared" si="11"/>
        <v>MIERCOLES</v>
      </c>
      <c r="E168" s="105">
        <v>1.0033684199999999</v>
      </c>
      <c r="F168" s="105">
        <v>272.29000000000002</v>
      </c>
      <c r="G168" s="104">
        <f t="shared" si="12"/>
        <v>0.73596096931586596</v>
      </c>
      <c r="H168" s="125">
        <v>5.4562842882640003E-2</v>
      </c>
      <c r="I168" s="126">
        <f t="shared" si="13"/>
        <v>0</v>
      </c>
      <c r="J168" s="97"/>
      <c r="K168" s="97"/>
      <c r="L168" s="71"/>
      <c r="M168" s="97"/>
      <c r="N168" s="97"/>
      <c r="O168" s="97"/>
      <c r="P168" s="117"/>
      <c r="Q168" s="71">
        <f t="shared" si="14"/>
        <v>164</v>
      </c>
      <c r="R168" s="122">
        <v>0</v>
      </c>
      <c r="V168" s="116"/>
      <c r="W168" s="116"/>
      <c r="X168" s="124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</row>
    <row r="169" spans="2:44" s="112" customFormat="1" x14ac:dyDescent="0.2">
      <c r="B169" s="118">
        <v>43398</v>
      </c>
      <c r="C169" s="130">
        <f t="shared" si="10"/>
        <v>4</v>
      </c>
      <c r="D169" s="119" t="str">
        <f t="shared" si="11"/>
        <v>JUEVES</v>
      </c>
      <c r="E169" s="105">
        <v>1.0033575299999999</v>
      </c>
      <c r="F169" s="105">
        <v>271.29000000000002</v>
      </c>
      <c r="G169" s="104">
        <f t="shared" si="12"/>
        <v>0.73325811218076797</v>
      </c>
      <c r="H169" s="125">
        <v>5.4562842882640003E-2</v>
      </c>
      <c r="I169" s="126">
        <f t="shared" si="13"/>
        <v>0</v>
      </c>
      <c r="J169" s="97"/>
      <c r="K169" s="97"/>
      <c r="L169" s="71"/>
      <c r="M169" s="97"/>
      <c r="N169" s="97"/>
      <c r="O169" s="97"/>
      <c r="P169" s="117"/>
      <c r="Q169" s="71">
        <f t="shared" si="14"/>
        <v>165</v>
      </c>
      <c r="R169" s="122">
        <v>0</v>
      </c>
      <c r="V169" s="116"/>
      <c r="W169" s="116"/>
      <c r="X169" s="124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</row>
    <row r="170" spans="2:44" s="112" customFormat="1" x14ac:dyDescent="0.2">
      <c r="B170" s="118">
        <v>43399</v>
      </c>
      <c r="C170" s="130">
        <f t="shared" si="10"/>
        <v>5</v>
      </c>
      <c r="D170" s="119" t="str">
        <f t="shared" si="11"/>
        <v>VIERNES</v>
      </c>
      <c r="E170" s="105">
        <v>1.0033466600000001</v>
      </c>
      <c r="F170" s="105">
        <v>270.29000000000002</v>
      </c>
      <c r="G170" s="104">
        <f t="shared" si="12"/>
        <v>0.73055525504566998</v>
      </c>
      <c r="H170" s="125">
        <v>5.4562842882640003E-2</v>
      </c>
      <c r="I170" s="126">
        <f t="shared" si="13"/>
        <v>0</v>
      </c>
      <c r="J170" s="97"/>
      <c r="K170" s="97"/>
      <c r="L170" s="71"/>
      <c r="M170" s="97"/>
      <c r="N170" s="97"/>
      <c r="O170" s="97"/>
      <c r="P170" s="117"/>
      <c r="Q170" s="71">
        <f t="shared" si="14"/>
        <v>166</v>
      </c>
      <c r="R170" s="122">
        <v>0</v>
      </c>
      <c r="V170" s="116"/>
      <c r="W170" s="116"/>
      <c r="X170" s="124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</row>
    <row r="171" spans="2:44" s="112" customFormat="1" x14ac:dyDescent="0.2">
      <c r="B171" s="118">
        <v>43402</v>
      </c>
      <c r="C171" s="130">
        <f t="shared" si="10"/>
        <v>1</v>
      </c>
      <c r="D171" s="119" t="str">
        <f t="shared" si="11"/>
        <v>LUNES</v>
      </c>
      <c r="E171" s="105">
        <v>1.0033141999999999</v>
      </c>
      <c r="F171" s="105">
        <v>267.29000000000002</v>
      </c>
      <c r="G171" s="104">
        <f t="shared" si="12"/>
        <v>0.72244668364037501</v>
      </c>
      <c r="H171" s="125">
        <v>5.4562842882640003E-2</v>
      </c>
      <c r="I171" s="126">
        <f t="shared" si="13"/>
        <v>0</v>
      </c>
      <c r="J171" s="97"/>
      <c r="K171" s="97"/>
      <c r="L171" s="71"/>
      <c r="M171" s="97"/>
      <c r="N171" s="97"/>
      <c r="O171" s="97"/>
      <c r="P171" s="117"/>
      <c r="Q171" s="71">
        <f t="shared" si="14"/>
        <v>167</v>
      </c>
      <c r="R171" s="122">
        <v>0</v>
      </c>
      <c r="V171" s="116"/>
      <c r="W171" s="116"/>
      <c r="X171" s="124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</row>
    <row r="172" spans="2:44" s="112" customFormat="1" x14ac:dyDescent="0.2">
      <c r="B172" s="118">
        <v>43403</v>
      </c>
      <c r="C172" s="130">
        <f t="shared" si="10"/>
        <v>2</v>
      </c>
      <c r="D172" s="119" t="str">
        <f t="shared" si="11"/>
        <v>MARTES</v>
      </c>
      <c r="E172" s="105">
        <v>1.0033034300000001</v>
      </c>
      <c r="F172" s="105">
        <v>266.29000000000002</v>
      </c>
      <c r="G172" s="104">
        <f t="shared" si="12"/>
        <v>0.71974382650527702</v>
      </c>
      <c r="H172" s="125">
        <v>5.4562842882640003E-2</v>
      </c>
      <c r="I172" s="126">
        <f t="shared" si="13"/>
        <v>0</v>
      </c>
      <c r="J172" s="97"/>
      <c r="K172" s="97"/>
      <c r="L172" s="71"/>
      <c r="M172" s="97"/>
      <c r="N172" s="97"/>
      <c r="O172" s="97"/>
      <c r="P172" s="117"/>
      <c r="Q172" s="71">
        <f t="shared" si="14"/>
        <v>168</v>
      </c>
      <c r="R172" s="122">
        <v>0</v>
      </c>
      <c r="V172" s="116"/>
      <c r="W172" s="116"/>
      <c r="X172" s="124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</row>
    <row r="173" spans="2:44" s="112" customFormat="1" x14ac:dyDescent="0.2">
      <c r="B173" s="118">
        <v>43404</v>
      </c>
      <c r="C173" s="130">
        <f t="shared" si="10"/>
        <v>3</v>
      </c>
      <c r="D173" s="119" t="str">
        <f t="shared" si="11"/>
        <v>MIERCOLES</v>
      </c>
      <c r="E173" s="105">
        <v>1.00329267</v>
      </c>
      <c r="F173" s="105">
        <v>269.14</v>
      </c>
      <c r="G173" s="104">
        <f t="shared" si="12"/>
        <v>0.72744696934030695</v>
      </c>
      <c r="H173" s="125">
        <v>5.4562842882640003E-2</v>
      </c>
      <c r="I173" s="126">
        <f t="shared" si="13"/>
        <v>0</v>
      </c>
      <c r="J173" s="97"/>
      <c r="K173" s="97"/>
      <c r="L173" s="71"/>
      <c r="M173" s="97"/>
      <c r="N173" s="97"/>
      <c r="O173" s="97"/>
      <c r="P173" s="117"/>
      <c r="Q173" s="71">
        <f t="shared" si="14"/>
        <v>169</v>
      </c>
      <c r="R173" s="122">
        <v>0</v>
      </c>
      <c r="V173" s="116"/>
      <c r="W173" s="116"/>
      <c r="X173" s="124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</row>
    <row r="174" spans="2:44" s="112" customFormat="1" x14ac:dyDescent="0.2">
      <c r="B174" s="118">
        <v>43405</v>
      </c>
      <c r="C174" s="130">
        <f t="shared" si="10"/>
        <v>4</v>
      </c>
      <c r="D174" s="119" t="str">
        <f t="shared" si="11"/>
        <v>JUEVES</v>
      </c>
      <c r="E174" s="105">
        <v>1.00219185</v>
      </c>
      <c r="F174" s="105">
        <v>268.14</v>
      </c>
      <c r="G174" s="104">
        <f t="shared" si="12"/>
        <v>0.72446565045996403</v>
      </c>
      <c r="H174" s="125">
        <v>5.6121288952119999E-2</v>
      </c>
      <c r="I174" s="126">
        <f t="shared" si="13"/>
        <v>2.8162104957973801E-2</v>
      </c>
      <c r="J174" s="97"/>
      <c r="K174" s="97"/>
      <c r="L174" s="71"/>
      <c r="M174" s="97"/>
      <c r="N174" s="97"/>
      <c r="O174" s="97"/>
      <c r="P174" s="117"/>
      <c r="Q174" s="71">
        <f t="shared" si="14"/>
        <v>170</v>
      </c>
      <c r="R174" s="122">
        <v>0</v>
      </c>
      <c r="V174" s="116"/>
      <c r="W174" s="116"/>
      <c r="X174" s="124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</row>
    <row r="175" spans="2:44" s="112" customFormat="1" x14ac:dyDescent="0.2">
      <c r="B175" s="118">
        <v>43409</v>
      </c>
      <c r="C175" s="130">
        <f t="shared" si="10"/>
        <v>1</v>
      </c>
      <c r="D175" s="119" t="str">
        <f t="shared" si="11"/>
        <v>LUNES</v>
      </c>
      <c r="E175" s="105">
        <v>1.0021562100000001</v>
      </c>
      <c r="F175" s="105">
        <v>264.14</v>
      </c>
      <c r="G175" s="104">
        <f t="shared" si="12"/>
        <v>0.713658375895036</v>
      </c>
      <c r="H175" s="125">
        <v>5.6121288952119999E-2</v>
      </c>
      <c r="I175" s="126">
        <f t="shared" si="13"/>
        <v>0</v>
      </c>
      <c r="J175" s="97"/>
      <c r="K175" s="97"/>
      <c r="L175" s="71"/>
      <c r="M175" s="97"/>
      <c r="N175" s="97"/>
      <c r="O175" s="97"/>
      <c r="P175" s="117"/>
      <c r="Q175" s="71">
        <f t="shared" si="14"/>
        <v>171</v>
      </c>
      <c r="R175" s="122">
        <v>0</v>
      </c>
      <c r="V175" s="116"/>
      <c r="W175" s="116"/>
      <c r="X175" s="124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</row>
    <row r="176" spans="2:44" s="112" customFormat="1" x14ac:dyDescent="0.2">
      <c r="B176" s="118">
        <v>43410</v>
      </c>
      <c r="C176" s="130">
        <f t="shared" si="10"/>
        <v>2</v>
      </c>
      <c r="D176" s="119" t="str">
        <f t="shared" si="11"/>
        <v>MARTES</v>
      </c>
      <c r="E176" s="105">
        <v>1.0021473599999999</v>
      </c>
      <c r="F176" s="105">
        <v>263.14</v>
      </c>
      <c r="G176" s="104">
        <f t="shared" si="12"/>
        <v>0.71095655725380402</v>
      </c>
      <c r="H176" s="125">
        <v>5.6121288952119999E-2</v>
      </c>
      <c r="I176" s="126">
        <f t="shared" si="13"/>
        <v>0</v>
      </c>
      <c r="J176" s="97"/>
      <c r="K176" s="97"/>
      <c r="L176" s="71"/>
      <c r="M176" s="97"/>
      <c r="N176" s="97"/>
      <c r="O176" s="97"/>
      <c r="P176" s="117"/>
      <c r="Q176" s="71">
        <f t="shared" si="14"/>
        <v>172</v>
      </c>
      <c r="R176" s="122">
        <v>0</v>
      </c>
      <c r="V176" s="116"/>
      <c r="W176" s="116"/>
      <c r="X176" s="124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</row>
    <row r="177" spans="2:44" s="112" customFormat="1" x14ac:dyDescent="0.2">
      <c r="B177" s="118">
        <v>43411</v>
      </c>
      <c r="C177" s="130">
        <f t="shared" si="10"/>
        <v>3</v>
      </c>
      <c r="D177" s="119" t="str">
        <f t="shared" si="11"/>
        <v>MIERCOLES</v>
      </c>
      <c r="E177" s="105">
        <v>1.0021385199999999</v>
      </c>
      <c r="F177" s="105">
        <v>262.14</v>
      </c>
      <c r="G177" s="104">
        <f t="shared" si="12"/>
        <v>0.70825473861257204</v>
      </c>
      <c r="H177" s="125">
        <v>5.6121288952119999E-2</v>
      </c>
      <c r="I177" s="126">
        <f t="shared" si="13"/>
        <v>0</v>
      </c>
      <c r="J177" s="97"/>
      <c r="K177" s="97"/>
      <c r="L177" s="71"/>
      <c r="M177" s="97"/>
      <c r="N177" s="97"/>
      <c r="O177" s="97"/>
      <c r="P177" s="117"/>
      <c r="Q177" s="71">
        <f t="shared" si="14"/>
        <v>173</v>
      </c>
      <c r="R177" s="122">
        <v>0</v>
      </c>
      <c r="V177" s="116"/>
      <c r="W177" s="116"/>
      <c r="X177" s="124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</row>
    <row r="178" spans="2:44" s="112" customFormat="1" x14ac:dyDescent="0.2">
      <c r="B178" s="118">
        <v>43412</v>
      </c>
      <c r="C178" s="130">
        <f t="shared" si="10"/>
        <v>4</v>
      </c>
      <c r="D178" s="119" t="str">
        <f t="shared" si="11"/>
        <v>JUEVES</v>
      </c>
      <c r="E178" s="105">
        <v>1.0021297199999999</v>
      </c>
      <c r="F178" s="105">
        <v>261.14</v>
      </c>
      <c r="G178" s="104">
        <f t="shared" si="12"/>
        <v>0.70555291997133995</v>
      </c>
      <c r="H178" s="125">
        <v>5.6121288952119999E-2</v>
      </c>
      <c r="I178" s="126">
        <f t="shared" si="13"/>
        <v>0</v>
      </c>
      <c r="J178" s="97"/>
      <c r="K178" s="97"/>
      <c r="L178" s="71"/>
      <c r="M178" s="97"/>
      <c r="N178" s="97"/>
      <c r="O178" s="97"/>
      <c r="P178" s="117"/>
      <c r="Q178" s="71">
        <f t="shared" si="14"/>
        <v>174</v>
      </c>
      <c r="R178" s="122">
        <v>0</v>
      </c>
      <c r="V178" s="116"/>
      <c r="W178" s="116"/>
      <c r="X178" s="124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</row>
    <row r="179" spans="2:44" s="112" customFormat="1" x14ac:dyDescent="0.2">
      <c r="B179" s="118">
        <v>43413</v>
      </c>
      <c r="C179" s="130">
        <f t="shared" si="10"/>
        <v>5</v>
      </c>
      <c r="D179" s="119" t="str">
        <f t="shared" si="11"/>
        <v>VIERNES</v>
      </c>
      <c r="E179" s="105">
        <v>1.0021209200000001</v>
      </c>
      <c r="F179" s="105">
        <v>260.14</v>
      </c>
      <c r="G179" s="104">
        <f t="shared" si="12"/>
        <v>0.70285110133010797</v>
      </c>
      <c r="H179" s="125">
        <v>5.6121288952119999E-2</v>
      </c>
      <c r="I179" s="126">
        <f t="shared" si="13"/>
        <v>0</v>
      </c>
      <c r="J179" s="97"/>
      <c r="K179" s="97"/>
      <c r="L179" s="71"/>
      <c r="M179" s="97"/>
      <c r="N179" s="97"/>
      <c r="O179" s="97"/>
      <c r="P179" s="117"/>
      <c r="Q179" s="71">
        <f t="shared" si="14"/>
        <v>175</v>
      </c>
      <c r="R179" s="122">
        <v>0</v>
      </c>
      <c r="V179" s="116"/>
      <c r="W179" s="116"/>
      <c r="X179" s="124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</row>
    <row r="180" spans="2:44" s="112" customFormat="1" x14ac:dyDescent="0.2">
      <c r="B180" s="118">
        <v>43416</v>
      </c>
      <c r="C180" s="130">
        <f t="shared" si="10"/>
        <v>1</v>
      </c>
      <c r="D180" s="119" t="str">
        <f t="shared" si="11"/>
        <v>LUNES</v>
      </c>
      <c r="E180" s="105">
        <v>1.0020947</v>
      </c>
      <c r="F180" s="105">
        <v>257.14</v>
      </c>
      <c r="G180" s="104">
        <f t="shared" si="12"/>
        <v>0.69474564540641104</v>
      </c>
      <c r="H180" s="125">
        <v>5.6121288952119999E-2</v>
      </c>
      <c r="I180" s="126">
        <f t="shared" si="13"/>
        <v>0</v>
      </c>
      <c r="J180" s="97"/>
      <c r="K180" s="97"/>
      <c r="L180" s="71"/>
      <c r="M180" s="97"/>
      <c r="N180" s="97"/>
      <c r="O180" s="97"/>
      <c r="P180" s="117"/>
      <c r="Q180" s="71">
        <f t="shared" si="14"/>
        <v>176</v>
      </c>
      <c r="R180" s="122">
        <v>0</v>
      </c>
      <c r="V180" s="116"/>
      <c r="W180" s="116"/>
      <c r="X180" s="124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</row>
    <row r="181" spans="2:44" s="112" customFormat="1" x14ac:dyDescent="0.2">
      <c r="B181" s="118">
        <v>43417</v>
      </c>
      <c r="C181" s="130">
        <f t="shared" si="10"/>
        <v>2</v>
      </c>
      <c r="D181" s="119" t="str">
        <f t="shared" si="11"/>
        <v>MARTES</v>
      </c>
      <c r="E181" s="105">
        <v>1.00208601</v>
      </c>
      <c r="F181" s="105">
        <v>256.14</v>
      </c>
      <c r="G181" s="104">
        <f t="shared" si="12"/>
        <v>0.69204382676517895</v>
      </c>
      <c r="H181" s="125">
        <v>5.6121288952119999E-2</v>
      </c>
      <c r="I181" s="126">
        <f t="shared" si="13"/>
        <v>0</v>
      </c>
      <c r="J181" s="97"/>
      <c r="K181" s="97"/>
      <c r="L181" s="71"/>
      <c r="M181" s="97"/>
      <c r="N181" s="97"/>
      <c r="O181" s="97"/>
      <c r="P181" s="117"/>
      <c r="Q181" s="71">
        <f t="shared" si="14"/>
        <v>177</v>
      </c>
      <c r="R181" s="122">
        <v>0</v>
      </c>
      <c r="V181" s="116"/>
      <c r="W181" s="116"/>
      <c r="X181" s="124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</row>
    <row r="182" spans="2:44" s="112" customFormat="1" x14ac:dyDescent="0.2">
      <c r="B182" s="118">
        <v>43418</v>
      </c>
      <c r="C182" s="130">
        <f t="shared" si="10"/>
        <v>3</v>
      </c>
      <c r="D182" s="119" t="str">
        <f t="shared" si="11"/>
        <v>MIERCOLES</v>
      </c>
      <c r="E182" s="105">
        <v>1.0020773300000001</v>
      </c>
      <c r="F182" s="105">
        <v>255.14</v>
      </c>
      <c r="G182" s="104">
        <f t="shared" si="12"/>
        <v>0.68934200812394697</v>
      </c>
      <c r="H182" s="125">
        <v>5.6121288952119999E-2</v>
      </c>
      <c r="I182" s="126">
        <f t="shared" si="13"/>
        <v>0</v>
      </c>
      <c r="J182" s="97"/>
      <c r="K182" s="97"/>
      <c r="L182" s="71"/>
      <c r="M182" s="97"/>
      <c r="N182" s="97"/>
      <c r="O182" s="97"/>
      <c r="P182" s="117"/>
      <c r="Q182" s="71">
        <f t="shared" si="14"/>
        <v>178</v>
      </c>
      <c r="R182" s="122">
        <v>0</v>
      </c>
      <c r="V182" s="116"/>
      <c r="W182" s="116"/>
      <c r="X182" s="124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</row>
    <row r="183" spans="2:44" s="112" customFormat="1" x14ac:dyDescent="0.2">
      <c r="B183" s="118">
        <v>43419</v>
      </c>
      <c r="C183" s="130">
        <f t="shared" si="10"/>
        <v>4</v>
      </c>
      <c r="D183" s="119" t="str">
        <f t="shared" si="11"/>
        <v>JUEVES</v>
      </c>
      <c r="E183" s="105">
        <v>1.00206868</v>
      </c>
      <c r="F183" s="105">
        <v>254.14</v>
      </c>
      <c r="G183" s="104">
        <f t="shared" si="12"/>
        <v>0.68664018948271499</v>
      </c>
      <c r="H183" s="125">
        <v>5.6121288952119999E-2</v>
      </c>
      <c r="I183" s="126">
        <f t="shared" si="13"/>
        <v>0</v>
      </c>
      <c r="J183" s="97"/>
      <c r="K183" s="97"/>
      <c r="L183" s="71"/>
      <c r="M183" s="97"/>
      <c r="N183" s="97"/>
      <c r="O183" s="97"/>
      <c r="P183" s="117"/>
      <c r="Q183" s="71">
        <f t="shared" si="14"/>
        <v>179</v>
      </c>
      <c r="R183" s="122">
        <v>0</v>
      </c>
      <c r="V183" s="116"/>
      <c r="W183" s="116"/>
      <c r="X183" s="124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</row>
    <row r="184" spans="2:44" s="112" customFormat="1" x14ac:dyDescent="0.2">
      <c r="B184" s="118">
        <v>43420</v>
      </c>
      <c r="C184" s="130">
        <f t="shared" si="10"/>
        <v>5</v>
      </c>
      <c r="D184" s="119" t="str">
        <f t="shared" si="11"/>
        <v>VIERNES</v>
      </c>
      <c r="E184" s="105">
        <v>1.0020600399999999</v>
      </c>
      <c r="F184" s="105">
        <v>253.14</v>
      </c>
      <c r="G184" s="104">
        <f t="shared" si="12"/>
        <v>0.68393837084148301</v>
      </c>
      <c r="H184" s="125">
        <v>5.6121288952119999E-2</v>
      </c>
      <c r="I184" s="126">
        <f t="shared" si="13"/>
        <v>0</v>
      </c>
      <c r="J184" s="97"/>
      <c r="K184" s="97"/>
      <c r="L184" s="71"/>
      <c r="M184" s="97"/>
      <c r="N184" s="97"/>
      <c r="O184" s="97"/>
      <c r="P184" s="117"/>
      <c r="Q184" s="71">
        <f t="shared" si="14"/>
        <v>180</v>
      </c>
      <c r="R184" s="122">
        <v>0</v>
      </c>
      <c r="V184" s="116"/>
      <c r="W184" s="116"/>
      <c r="X184" s="124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</row>
    <row r="185" spans="2:44" s="112" customFormat="1" x14ac:dyDescent="0.2">
      <c r="B185" s="118">
        <v>43423</v>
      </c>
      <c r="C185" s="130">
        <f t="shared" si="10"/>
        <v>1</v>
      </c>
      <c r="D185" s="119" t="str">
        <f t="shared" si="11"/>
        <v>LUNES</v>
      </c>
      <c r="E185" s="105">
        <v>1.0020342900000001</v>
      </c>
      <c r="F185" s="105">
        <v>250.14</v>
      </c>
      <c r="G185" s="104">
        <f t="shared" si="12"/>
        <v>0.67583291491778696</v>
      </c>
      <c r="H185" s="125">
        <v>5.6121288952119999E-2</v>
      </c>
      <c r="I185" s="126">
        <f t="shared" si="13"/>
        <v>0</v>
      </c>
      <c r="J185" s="97"/>
      <c r="K185" s="97"/>
      <c r="L185" s="71"/>
      <c r="M185" s="97"/>
      <c r="N185" s="97"/>
      <c r="O185" s="97"/>
      <c r="P185" s="117"/>
      <c r="Q185" s="71">
        <f t="shared" si="14"/>
        <v>181</v>
      </c>
      <c r="R185" s="122">
        <v>0</v>
      </c>
      <c r="V185" s="116"/>
      <c r="W185" s="116"/>
      <c r="X185" s="124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</row>
    <row r="186" spans="2:44" s="112" customFormat="1" x14ac:dyDescent="0.2">
      <c r="B186" s="118">
        <v>43424</v>
      </c>
      <c r="C186" s="130">
        <f t="shared" si="10"/>
        <v>2</v>
      </c>
      <c r="D186" s="119" t="str">
        <f t="shared" si="11"/>
        <v>MARTES</v>
      </c>
      <c r="E186" s="105">
        <v>1.00000512</v>
      </c>
      <c r="F186" s="105">
        <v>249.14</v>
      </c>
      <c r="G186" s="104">
        <f t="shared" si="12"/>
        <v>0.67261402739254295</v>
      </c>
      <c r="H186" s="125">
        <v>5.9239413200030004E-2</v>
      </c>
      <c r="I186" s="126">
        <f t="shared" si="13"/>
        <v>5.40718611258032E-2</v>
      </c>
      <c r="J186" s="97"/>
      <c r="K186" s="97"/>
      <c r="L186" s="71"/>
      <c r="M186" s="97"/>
      <c r="N186" s="97"/>
      <c r="O186" s="97"/>
      <c r="P186" s="117"/>
      <c r="Q186" s="71">
        <f t="shared" si="14"/>
        <v>182</v>
      </c>
      <c r="R186" s="122">
        <v>0</v>
      </c>
      <c r="V186" s="116"/>
      <c r="W186" s="116"/>
      <c r="X186" s="124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</row>
    <row r="187" spans="2:44" s="112" customFormat="1" x14ac:dyDescent="0.2">
      <c r="B187" s="118">
        <v>43425</v>
      </c>
      <c r="C187" s="130">
        <f t="shared" si="10"/>
        <v>3</v>
      </c>
      <c r="D187" s="119" t="str">
        <f t="shared" si="11"/>
        <v>MIERCOLES</v>
      </c>
      <c r="E187" s="105">
        <v>1.00000439</v>
      </c>
      <c r="F187" s="105">
        <v>248.14</v>
      </c>
      <c r="G187" s="104">
        <f t="shared" si="12"/>
        <v>0.66991428416627397</v>
      </c>
      <c r="H187" s="125">
        <v>5.9239413200030004E-2</v>
      </c>
      <c r="I187" s="126">
        <f t="shared" si="13"/>
        <v>0</v>
      </c>
      <c r="J187" s="97"/>
      <c r="K187" s="97"/>
      <c r="L187" s="71"/>
      <c r="M187" s="97"/>
      <c r="N187" s="97"/>
      <c r="O187" s="97"/>
      <c r="P187" s="117"/>
      <c r="Q187" s="71">
        <f t="shared" si="14"/>
        <v>183</v>
      </c>
      <c r="R187" s="122">
        <v>0</v>
      </c>
      <c r="V187" s="116"/>
      <c r="W187" s="116"/>
      <c r="X187" s="124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</row>
    <row r="188" spans="2:44" s="112" customFormat="1" x14ac:dyDescent="0.2">
      <c r="B188" s="118">
        <v>43426</v>
      </c>
      <c r="C188" s="130">
        <f t="shared" si="10"/>
        <v>4</v>
      </c>
      <c r="D188" s="119" t="str">
        <f t="shared" si="11"/>
        <v>JUEVES</v>
      </c>
      <c r="E188" s="105">
        <v>1.0000037100000001</v>
      </c>
      <c r="F188" s="105">
        <v>247.14</v>
      </c>
      <c r="G188" s="104">
        <f t="shared" si="12"/>
        <v>0.66721454094000598</v>
      </c>
      <c r="H188" s="125">
        <v>5.9239413200030004E-2</v>
      </c>
      <c r="I188" s="126">
        <f t="shared" si="13"/>
        <v>0</v>
      </c>
      <c r="J188" s="97"/>
      <c r="K188" s="97"/>
      <c r="L188" s="71"/>
      <c r="M188" s="97"/>
      <c r="N188" s="97"/>
      <c r="O188" s="97"/>
      <c r="P188" s="117"/>
      <c r="Q188" s="71">
        <f t="shared" si="14"/>
        <v>184</v>
      </c>
      <c r="R188" s="122">
        <v>0</v>
      </c>
      <c r="V188" s="116"/>
      <c r="W188" s="116"/>
      <c r="X188" s="124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</row>
    <row r="189" spans="2:44" s="112" customFormat="1" x14ac:dyDescent="0.2">
      <c r="B189" s="118">
        <v>43427</v>
      </c>
      <c r="C189" s="130">
        <f t="shared" si="10"/>
        <v>5</v>
      </c>
      <c r="D189" s="119" t="str">
        <f t="shared" si="11"/>
        <v>VIERNES</v>
      </c>
      <c r="E189" s="105">
        <v>1.0000030499999999</v>
      </c>
      <c r="F189" s="105">
        <v>246.14</v>
      </c>
      <c r="G189" s="104">
        <f t="shared" si="12"/>
        <v>0.664514797713737</v>
      </c>
      <c r="H189" s="125">
        <v>5.9239413200030004E-2</v>
      </c>
      <c r="I189" s="126">
        <f t="shared" si="13"/>
        <v>0</v>
      </c>
      <c r="J189" s="97"/>
      <c r="K189" s="97"/>
      <c r="L189" s="71"/>
      <c r="M189" s="97"/>
      <c r="N189" s="97"/>
      <c r="O189" s="97"/>
      <c r="P189" s="117"/>
      <c r="Q189" s="71">
        <f t="shared" si="14"/>
        <v>185</v>
      </c>
      <c r="R189" s="122">
        <v>0</v>
      </c>
      <c r="V189" s="116"/>
      <c r="W189" s="116"/>
      <c r="X189" s="124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</row>
    <row r="190" spans="2:44" s="112" customFormat="1" x14ac:dyDescent="0.2">
      <c r="B190" s="118">
        <v>43430</v>
      </c>
      <c r="C190" s="130">
        <f t="shared" si="10"/>
        <v>1</v>
      </c>
      <c r="D190" s="119" t="str">
        <f t="shared" si="11"/>
        <v>LUNES</v>
      </c>
      <c r="E190" s="105">
        <v>1.0000011900000001</v>
      </c>
      <c r="F190" s="105">
        <v>243.14</v>
      </c>
      <c r="G190" s="104">
        <f t="shared" si="12"/>
        <v>0.65641556803493195</v>
      </c>
      <c r="H190" s="125">
        <v>5.9239413200030004E-2</v>
      </c>
      <c r="I190" s="126">
        <f t="shared" si="13"/>
        <v>0</v>
      </c>
      <c r="J190" s="97"/>
      <c r="K190" s="97"/>
      <c r="L190" s="71"/>
      <c r="M190" s="97"/>
      <c r="N190" s="97"/>
      <c r="O190" s="97"/>
      <c r="P190" s="117"/>
      <c r="Q190" s="71">
        <f t="shared" si="14"/>
        <v>186</v>
      </c>
      <c r="R190" s="122">
        <v>0</v>
      </c>
      <c r="V190" s="116"/>
      <c r="W190" s="116"/>
      <c r="X190" s="124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</row>
    <row r="191" spans="2:44" s="112" customFormat="1" x14ac:dyDescent="0.2">
      <c r="B191" s="118">
        <v>43431</v>
      </c>
      <c r="C191" s="130">
        <f t="shared" si="10"/>
        <v>2</v>
      </c>
      <c r="D191" s="119" t="str">
        <f t="shared" si="11"/>
        <v>MARTES</v>
      </c>
      <c r="E191" s="105">
        <v>1.0000006299999999</v>
      </c>
      <c r="F191" s="105">
        <v>242.14</v>
      </c>
      <c r="G191" s="104">
        <f t="shared" si="12"/>
        <v>0.65371582480866297</v>
      </c>
      <c r="H191" s="125">
        <v>5.9239413200030004E-2</v>
      </c>
      <c r="I191" s="126">
        <f t="shared" si="13"/>
        <v>0</v>
      </c>
      <c r="J191" s="97"/>
      <c r="K191" s="97"/>
      <c r="L191" s="71"/>
      <c r="M191" s="97"/>
      <c r="N191" s="97"/>
      <c r="O191" s="97"/>
      <c r="P191" s="117"/>
      <c r="Q191" s="71">
        <f t="shared" si="14"/>
        <v>187</v>
      </c>
      <c r="R191" s="122">
        <v>0</v>
      </c>
      <c r="V191" s="116"/>
      <c r="W191" s="116"/>
      <c r="X191" s="124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</row>
    <row r="192" spans="2:44" s="112" customFormat="1" x14ac:dyDescent="0.2">
      <c r="B192" s="118">
        <v>43432</v>
      </c>
      <c r="C192" s="130">
        <f t="shared" si="10"/>
        <v>3</v>
      </c>
      <c r="D192" s="119" t="str">
        <f t="shared" si="11"/>
        <v>MIERCOLES</v>
      </c>
      <c r="E192" s="105">
        <v>1.00000008</v>
      </c>
      <c r="F192" s="105">
        <v>241.14</v>
      </c>
      <c r="G192" s="104">
        <f t="shared" si="12"/>
        <v>0.65101608158239399</v>
      </c>
      <c r="H192" s="125">
        <v>5.9239413200030004E-2</v>
      </c>
      <c r="I192" s="126">
        <f t="shared" si="13"/>
        <v>0</v>
      </c>
      <c r="J192" s="97"/>
      <c r="K192" s="97"/>
      <c r="L192" s="71"/>
      <c r="M192" s="97"/>
      <c r="N192" s="97"/>
      <c r="O192" s="97"/>
      <c r="P192" s="117"/>
      <c r="Q192" s="71">
        <f t="shared" si="14"/>
        <v>188</v>
      </c>
      <c r="R192" s="122">
        <v>0</v>
      </c>
      <c r="V192" s="116"/>
      <c r="W192" s="116"/>
      <c r="X192" s="124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</row>
    <row r="193" spans="2:44" s="112" customFormat="1" x14ac:dyDescent="0.2">
      <c r="B193" s="118">
        <v>43433</v>
      </c>
      <c r="C193" s="130">
        <f t="shared" si="10"/>
        <v>4</v>
      </c>
      <c r="D193" s="119" t="str">
        <f t="shared" si="11"/>
        <v>JUEVES</v>
      </c>
      <c r="E193" s="105">
        <v>0.99999956999999995</v>
      </c>
      <c r="F193" s="105">
        <v>240.14</v>
      </c>
      <c r="G193" s="104">
        <f t="shared" si="12"/>
        <v>0.64831633835612601</v>
      </c>
      <c r="H193" s="125">
        <v>5.9239413200030004E-2</v>
      </c>
      <c r="I193" s="126">
        <f t="shared" si="13"/>
        <v>0</v>
      </c>
      <c r="J193" s="97"/>
      <c r="K193" s="97"/>
      <c r="L193" s="71"/>
      <c r="M193" s="97"/>
      <c r="N193" s="97"/>
      <c r="O193" s="97"/>
      <c r="P193" s="117"/>
      <c r="Q193" s="71">
        <f t="shared" si="14"/>
        <v>189</v>
      </c>
      <c r="R193" s="122">
        <v>0</v>
      </c>
      <c r="V193" s="116"/>
      <c r="W193" s="116"/>
      <c r="X193" s="124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</row>
    <row r="194" spans="2:44" s="112" customFormat="1" x14ac:dyDescent="0.2">
      <c r="B194" s="118">
        <v>43434</v>
      </c>
      <c r="C194" s="130">
        <f t="shared" si="10"/>
        <v>5</v>
      </c>
      <c r="D194" s="119" t="str">
        <f t="shared" si="11"/>
        <v>VIERNES</v>
      </c>
      <c r="E194" s="105">
        <v>0.99999908000000004</v>
      </c>
      <c r="F194" s="105">
        <v>239.14</v>
      </c>
      <c r="G194" s="104">
        <f t="shared" si="12"/>
        <v>0.64561659512985703</v>
      </c>
      <c r="H194" s="125">
        <v>5.9239413200030004E-2</v>
      </c>
      <c r="I194" s="126">
        <f t="shared" si="13"/>
        <v>0</v>
      </c>
      <c r="J194" s="97"/>
      <c r="K194" s="97"/>
      <c r="L194" s="71"/>
      <c r="M194" s="97"/>
      <c r="N194" s="97"/>
      <c r="O194" s="97"/>
      <c r="P194" s="117"/>
      <c r="Q194" s="71">
        <f t="shared" si="14"/>
        <v>190</v>
      </c>
      <c r="R194" s="122">
        <v>0</v>
      </c>
      <c r="V194" s="116"/>
      <c r="W194" s="116"/>
      <c r="X194" s="124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</row>
    <row r="195" spans="2:44" s="112" customFormat="1" x14ac:dyDescent="0.2">
      <c r="B195" s="118">
        <v>43437</v>
      </c>
      <c r="C195" s="130">
        <f t="shared" si="10"/>
        <v>1</v>
      </c>
      <c r="D195" s="119" t="str">
        <f t="shared" si="11"/>
        <v>LUNES</v>
      </c>
      <c r="E195" s="105">
        <v>1.0019165299999999</v>
      </c>
      <c r="F195" s="105">
        <v>236.14</v>
      </c>
      <c r="G195" s="104">
        <f t="shared" si="12"/>
        <v>0.63800738938147705</v>
      </c>
      <c r="H195" s="125">
        <v>5.6121699385270001E-2</v>
      </c>
      <c r="I195" s="126">
        <f t="shared" si="13"/>
        <v>-5.4064547828891099E-2</v>
      </c>
      <c r="J195" s="97"/>
      <c r="K195" s="97"/>
      <c r="L195" s="71"/>
      <c r="M195" s="97"/>
      <c r="N195" s="97"/>
      <c r="O195" s="97"/>
      <c r="P195" s="117"/>
      <c r="Q195" s="71">
        <f t="shared" si="14"/>
        <v>191</v>
      </c>
      <c r="R195" s="122">
        <v>0</v>
      </c>
      <c r="V195" s="116"/>
      <c r="W195" s="116"/>
      <c r="X195" s="124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</row>
    <row r="196" spans="2:44" s="112" customFormat="1" x14ac:dyDescent="0.2">
      <c r="B196" s="118">
        <v>43438</v>
      </c>
      <c r="C196" s="130">
        <f t="shared" si="10"/>
        <v>2</v>
      </c>
      <c r="D196" s="119" t="str">
        <f t="shared" si="11"/>
        <v>MARTES</v>
      </c>
      <c r="E196" s="105">
        <v>1.0019083099999999</v>
      </c>
      <c r="F196" s="105">
        <v>235.14</v>
      </c>
      <c r="G196" s="104">
        <f t="shared" si="12"/>
        <v>0.63530557101363805</v>
      </c>
      <c r="H196" s="125">
        <v>5.6121699385270001E-2</v>
      </c>
      <c r="I196" s="126">
        <f t="shared" si="13"/>
        <v>0</v>
      </c>
      <c r="J196" s="97"/>
      <c r="K196" s="97"/>
      <c r="L196" s="71"/>
      <c r="M196" s="97"/>
      <c r="N196" s="97"/>
      <c r="O196" s="97"/>
      <c r="P196" s="117"/>
      <c r="Q196" s="71">
        <f t="shared" si="14"/>
        <v>192</v>
      </c>
      <c r="R196" s="122">
        <v>0</v>
      </c>
      <c r="V196" s="116"/>
      <c r="W196" s="116"/>
      <c r="X196" s="124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</row>
    <row r="197" spans="2:44" s="112" customFormat="1" x14ac:dyDescent="0.2">
      <c r="B197" s="118">
        <v>43439</v>
      </c>
      <c r="C197" s="130">
        <f t="shared" ref="C197:C247" si="15">WEEKDAY(B197,2)</f>
        <v>3</v>
      </c>
      <c r="D197" s="119" t="str">
        <f t="shared" ref="D197:D247" si="16">VLOOKUP(C197,$Y$5:$Z$11,2,0)</f>
        <v>MIERCOLES</v>
      </c>
      <c r="E197" s="105">
        <v>1.0019001199999999</v>
      </c>
      <c r="F197" s="105">
        <v>234.14</v>
      </c>
      <c r="G197" s="104">
        <f t="shared" ref="G197:G246" si="17">ROUND((F197/365)/(1+(H197/4)),$F$1)</f>
        <v>0.63260375264579904</v>
      </c>
      <c r="H197" s="125">
        <v>5.6121699385270001E-2</v>
      </c>
      <c r="I197" s="126">
        <f t="shared" si="13"/>
        <v>0</v>
      </c>
      <c r="J197" s="97"/>
      <c r="K197" s="97"/>
      <c r="L197" s="71"/>
      <c r="M197" s="97"/>
      <c r="N197" s="97"/>
      <c r="O197" s="97"/>
      <c r="P197" s="117"/>
      <c r="Q197" s="71">
        <f t="shared" si="14"/>
        <v>193</v>
      </c>
      <c r="R197" s="122">
        <v>0</v>
      </c>
      <c r="V197" s="116"/>
      <c r="W197" s="116"/>
      <c r="X197" s="124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</row>
    <row r="198" spans="2:44" s="112" customFormat="1" x14ac:dyDescent="0.2">
      <c r="B198" s="118">
        <v>43440</v>
      </c>
      <c r="C198" s="130">
        <f t="shared" si="15"/>
        <v>4</v>
      </c>
      <c r="D198" s="119" t="str">
        <f t="shared" si="16"/>
        <v>JUEVES</v>
      </c>
      <c r="E198" s="105">
        <v>1.00189193</v>
      </c>
      <c r="F198" s="105">
        <v>233.14</v>
      </c>
      <c r="G198" s="104">
        <f t="shared" si="17"/>
        <v>0.62990193427796004</v>
      </c>
      <c r="H198" s="125">
        <v>5.6121699385270001E-2</v>
      </c>
      <c r="I198" s="126">
        <f t="shared" ref="I198:I246" si="18">ROUND(LN(H198/H197),$F$1)</f>
        <v>0</v>
      </c>
      <c r="J198" s="97"/>
      <c r="K198" s="97"/>
      <c r="L198" s="71"/>
      <c r="M198" s="97"/>
      <c r="N198" s="97"/>
      <c r="O198" s="97"/>
      <c r="P198" s="117"/>
      <c r="Q198" s="71">
        <f t="shared" ref="Q198:Q245" si="19">Q197+1</f>
        <v>194</v>
      </c>
      <c r="R198" s="122">
        <v>0</v>
      </c>
      <c r="V198" s="116"/>
      <c r="W198" s="116"/>
      <c r="X198" s="124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</row>
    <row r="199" spans="2:44" s="112" customFormat="1" x14ac:dyDescent="0.2">
      <c r="B199" s="118">
        <v>43441</v>
      </c>
      <c r="C199" s="130">
        <f t="shared" si="15"/>
        <v>5</v>
      </c>
      <c r="D199" s="119" t="str">
        <f t="shared" si="16"/>
        <v>VIERNES</v>
      </c>
      <c r="E199" s="105">
        <v>1.00188378</v>
      </c>
      <c r="F199" s="105">
        <v>232.14</v>
      </c>
      <c r="G199" s="104">
        <f t="shared" si="17"/>
        <v>0.62720011591012104</v>
      </c>
      <c r="H199" s="125">
        <v>5.6121699385270001E-2</v>
      </c>
      <c r="I199" s="126">
        <f t="shared" si="18"/>
        <v>0</v>
      </c>
      <c r="J199" s="97"/>
      <c r="K199" s="97"/>
      <c r="L199" s="71"/>
      <c r="M199" s="97"/>
      <c r="N199" s="97"/>
      <c r="O199" s="97"/>
      <c r="P199" s="117"/>
      <c r="Q199" s="71">
        <f t="shared" si="19"/>
        <v>195</v>
      </c>
      <c r="R199" s="122">
        <v>0</v>
      </c>
      <c r="V199" s="116"/>
      <c r="W199" s="116"/>
      <c r="X199" s="124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</row>
    <row r="200" spans="2:44" s="112" customFormat="1" x14ac:dyDescent="0.2">
      <c r="B200" s="118">
        <v>43444</v>
      </c>
      <c r="C200" s="130">
        <f t="shared" si="15"/>
        <v>1</v>
      </c>
      <c r="D200" s="119" t="str">
        <f t="shared" si="16"/>
        <v>LUNES</v>
      </c>
      <c r="E200" s="105">
        <v>1.00185945</v>
      </c>
      <c r="F200" s="105">
        <v>229.14</v>
      </c>
      <c r="G200" s="104">
        <f t="shared" si="17"/>
        <v>0.61909466080660502</v>
      </c>
      <c r="H200" s="125">
        <v>5.6121699385270001E-2</v>
      </c>
      <c r="I200" s="126">
        <f t="shared" si="18"/>
        <v>0</v>
      </c>
      <c r="J200" s="97"/>
      <c r="K200" s="97"/>
      <c r="L200" s="71"/>
      <c r="M200" s="97"/>
      <c r="N200" s="97"/>
      <c r="O200" s="97"/>
      <c r="P200" s="117"/>
      <c r="Q200" s="71">
        <f t="shared" si="19"/>
        <v>196</v>
      </c>
      <c r="R200" s="122">
        <v>0</v>
      </c>
      <c r="V200" s="116"/>
      <c r="W200" s="116"/>
      <c r="X200" s="124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</row>
    <row r="201" spans="2:44" s="112" customFormat="1" x14ac:dyDescent="0.2">
      <c r="B201" s="118">
        <v>43445</v>
      </c>
      <c r="C201" s="130">
        <f t="shared" si="15"/>
        <v>2</v>
      </c>
      <c r="D201" s="119" t="str">
        <f t="shared" si="16"/>
        <v>MARTES</v>
      </c>
      <c r="E201" s="105">
        <v>1.00185138</v>
      </c>
      <c r="F201" s="105">
        <v>228.14</v>
      </c>
      <c r="G201" s="104">
        <f t="shared" si="17"/>
        <v>0.61639284243876602</v>
      </c>
      <c r="H201" s="125">
        <v>5.6121699385270001E-2</v>
      </c>
      <c r="I201" s="126">
        <f t="shared" si="18"/>
        <v>0</v>
      </c>
      <c r="J201" s="97"/>
      <c r="K201" s="97"/>
      <c r="L201" s="71"/>
      <c r="M201" s="97"/>
      <c r="N201" s="97"/>
      <c r="O201" s="97"/>
      <c r="P201" s="117"/>
      <c r="Q201" s="71">
        <f t="shared" si="19"/>
        <v>197</v>
      </c>
      <c r="R201" s="122">
        <v>0</v>
      </c>
      <c r="V201" s="116"/>
      <c r="W201" s="116"/>
      <c r="X201" s="124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</row>
    <row r="202" spans="2:44" s="112" customFormat="1" x14ac:dyDescent="0.2">
      <c r="B202" s="118">
        <v>43446</v>
      </c>
      <c r="C202" s="130">
        <f t="shared" si="15"/>
        <v>3</v>
      </c>
      <c r="D202" s="119" t="str">
        <f t="shared" si="16"/>
        <v>MIERCOLES</v>
      </c>
      <c r="E202" s="105">
        <v>1.00184334</v>
      </c>
      <c r="F202" s="105">
        <v>227.14</v>
      </c>
      <c r="G202" s="104">
        <f t="shared" si="17"/>
        <v>0.61369102407092702</v>
      </c>
      <c r="H202" s="125">
        <v>5.6121699385270001E-2</v>
      </c>
      <c r="I202" s="126">
        <f t="shared" si="18"/>
        <v>0</v>
      </c>
      <c r="J202" s="97"/>
      <c r="K202" s="97"/>
      <c r="L202" s="71"/>
      <c r="M202" s="97"/>
      <c r="N202" s="97"/>
      <c r="O202" s="97"/>
      <c r="P202" s="117"/>
      <c r="Q202" s="71">
        <f t="shared" si="19"/>
        <v>198</v>
      </c>
      <c r="R202" s="122">
        <v>0</v>
      </c>
      <c r="V202" s="116"/>
      <c r="W202" s="116"/>
      <c r="X202" s="124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</row>
    <row r="203" spans="2:44" s="112" customFormat="1" x14ac:dyDescent="0.2">
      <c r="B203" s="118">
        <v>43447</v>
      </c>
      <c r="C203" s="130">
        <f t="shared" si="15"/>
        <v>4</v>
      </c>
      <c r="D203" s="119" t="str">
        <f t="shared" si="16"/>
        <v>JUEVES</v>
      </c>
      <c r="E203" s="105">
        <v>1.0018353200000001</v>
      </c>
      <c r="F203" s="105">
        <v>226.14</v>
      </c>
      <c r="G203" s="104">
        <f t="shared" si="17"/>
        <v>0.61098920570308801</v>
      </c>
      <c r="H203" s="125">
        <v>5.6121699385270001E-2</v>
      </c>
      <c r="I203" s="126">
        <f t="shared" si="18"/>
        <v>0</v>
      </c>
      <c r="J203" s="97"/>
      <c r="K203" s="97"/>
      <c r="L203" s="71"/>
      <c r="M203" s="97"/>
      <c r="N203" s="97"/>
      <c r="O203" s="97"/>
      <c r="P203" s="117"/>
      <c r="Q203" s="71">
        <f t="shared" si="19"/>
        <v>199</v>
      </c>
      <c r="R203" s="122">
        <v>0</v>
      </c>
      <c r="V203" s="116"/>
      <c r="W203" s="116"/>
      <c r="X203" s="124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</row>
    <row r="204" spans="2:44" s="112" customFormat="1" x14ac:dyDescent="0.2">
      <c r="B204" s="118">
        <v>43448</v>
      </c>
      <c r="C204" s="130">
        <f t="shared" si="15"/>
        <v>5</v>
      </c>
      <c r="D204" s="119" t="str">
        <f t="shared" si="16"/>
        <v>VIERNES</v>
      </c>
      <c r="E204" s="105">
        <v>1.0018273200000001</v>
      </c>
      <c r="F204" s="105">
        <v>225.14</v>
      </c>
      <c r="G204" s="104">
        <f t="shared" si="17"/>
        <v>0.60828738733524901</v>
      </c>
      <c r="H204" s="125">
        <v>5.6121699385270001E-2</v>
      </c>
      <c r="I204" s="126">
        <f t="shared" si="18"/>
        <v>0</v>
      </c>
      <c r="J204" s="97"/>
      <c r="K204" s="97"/>
      <c r="L204" s="71"/>
      <c r="M204" s="97"/>
      <c r="N204" s="97"/>
      <c r="O204" s="97"/>
      <c r="P204" s="117"/>
      <c r="Q204" s="71">
        <f t="shared" si="19"/>
        <v>200</v>
      </c>
      <c r="R204" s="122">
        <v>0</v>
      </c>
      <c r="V204" s="116"/>
      <c r="W204" s="116"/>
      <c r="X204" s="124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</row>
    <row r="205" spans="2:44" s="112" customFormat="1" x14ac:dyDescent="0.2">
      <c r="B205" s="118">
        <v>43451</v>
      </c>
      <c r="C205" s="130">
        <f t="shared" si="15"/>
        <v>1</v>
      </c>
      <c r="D205" s="119" t="str">
        <f t="shared" si="16"/>
        <v>LUNES</v>
      </c>
      <c r="E205" s="105">
        <v>1.00180347</v>
      </c>
      <c r="F205" s="105">
        <v>222.14</v>
      </c>
      <c r="G205" s="104">
        <f t="shared" si="17"/>
        <v>0.600181932231732</v>
      </c>
      <c r="H205" s="125">
        <v>5.6121699385270001E-2</v>
      </c>
      <c r="I205" s="126">
        <f t="shared" si="18"/>
        <v>0</v>
      </c>
      <c r="J205" s="97"/>
      <c r="K205" s="97"/>
      <c r="L205" s="71"/>
      <c r="M205" s="97"/>
      <c r="N205" s="97"/>
      <c r="O205" s="97"/>
      <c r="P205" s="117"/>
      <c r="Q205" s="71">
        <f t="shared" si="19"/>
        <v>201</v>
      </c>
      <c r="R205" s="122">
        <v>0</v>
      </c>
      <c r="V205" s="116"/>
      <c r="W205" s="116"/>
      <c r="X205" s="124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</row>
    <row r="206" spans="2:44" s="112" customFormat="1" x14ac:dyDescent="0.2">
      <c r="B206" s="118">
        <v>43452</v>
      </c>
      <c r="C206" s="130">
        <f t="shared" si="15"/>
        <v>2</v>
      </c>
      <c r="D206" s="119" t="str">
        <f t="shared" si="16"/>
        <v>MARTES</v>
      </c>
      <c r="E206" s="105">
        <v>1.00179555</v>
      </c>
      <c r="F206" s="105">
        <v>221.14</v>
      </c>
      <c r="G206" s="104">
        <f t="shared" si="17"/>
        <v>0.59748011386389399</v>
      </c>
      <c r="H206" s="125">
        <v>5.6121699385270001E-2</v>
      </c>
      <c r="I206" s="126">
        <f t="shared" si="18"/>
        <v>0</v>
      </c>
      <c r="J206" s="97"/>
      <c r="K206" s="97"/>
      <c r="L206" s="71"/>
      <c r="M206" s="97"/>
      <c r="N206" s="97"/>
      <c r="O206" s="97"/>
      <c r="P206" s="117"/>
      <c r="Q206" s="71">
        <f t="shared" si="19"/>
        <v>202</v>
      </c>
      <c r="R206" s="122">
        <v>0</v>
      </c>
      <c r="V206" s="116"/>
      <c r="W206" s="116"/>
      <c r="X206" s="124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</row>
    <row r="207" spans="2:44" s="112" customFormat="1" x14ac:dyDescent="0.2">
      <c r="B207" s="118">
        <v>43453</v>
      </c>
      <c r="C207" s="130">
        <f t="shared" si="15"/>
        <v>3</v>
      </c>
      <c r="D207" s="119" t="str">
        <f t="shared" si="16"/>
        <v>MIERCOLES</v>
      </c>
      <c r="E207" s="105">
        <v>1.0017876699999999</v>
      </c>
      <c r="F207" s="105">
        <v>220.14</v>
      </c>
      <c r="G207" s="104">
        <f t="shared" si="17"/>
        <v>0.59477829549605499</v>
      </c>
      <c r="H207" s="125">
        <v>5.6121699385270001E-2</v>
      </c>
      <c r="I207" s="126">
        <f t="shared" si="18"/>
        <v>0</v>
      </c>
      <c r="J207" s="97"/>
      <c r="K207" s="97"/>
      <c r="L207" s="71"/>
      <c r="M207" s="97"/>
      <c r="N207" s="97"/>
      <c r="O207" s="97"/>
      <c r="P207" s="117"/>
      <c r="Q207" s="71">
        <f t="shared" si="19"/>
        <v>203</v>
      </c>
      <c r="R207" s="122">
        <v>0</v>
      </c>
      <c r="V207" s="116"/>
      <c r="W207" s="116"/>
      <c r="X207" s="124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</row>
    <row r="208" spans="2:44" s="112" customFormat="1" x14ac:dyDescent="0.2">
      <c r="B208" s="118">
        <v>43454</v>
      </c>
      <c r="C208" s="130">
        <f t="shared" si="15"/>
        <v>4</v>
      </c>
      <c r="D208" s="119" t="str">
        <f t="shared" si="16"/>
        <v>JUEVES</v>
      </c>
      <c r="E208" s="105">
        <v>1.0017798099999999</v>
      </c>
      <c r="F208" s="105">
        <v>219.14</v>
      </c>
      <c r="G208" s="104">
        <f t="shared" si="17"/>
        <v>0.59207647712821598</v>
      </c>
      <c r="H208" s="125">
        <v>5.6121699385270001E-2</v>
      </c>
      <c r="I208" s="126">
        <f t="shared" si="18"/>
        <v>0</v>
      </c>
      <c r="J208" s="97"/>
      <c r="K208" s="97"/>
      <c r="L208" s="71"/>
      <c r="M208" s="97"/>
      <c r="N208" s="97"/>
      <c r="O208" s="97"/>
      <c r="P208" s="117"/>
      <c r="Q208" s="71">
        <f t="shared" si="19"/>
        <v>204</v>
      </c>
      <c r="R208" s="122">
        <v>0</v>
      </c>
      <c r="V208" s="116"/>
      <c r="W208" s="116"/>
      <c r="X208" s="124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</row>
    <row r="209" spans="2:44" s="112" customFormat="1" x14ac:dyDescent="0.2">
      <c r="B209" s="118">
        <v>43455</v>
      </c>
      <c r="C209" s="130">
        <f t="shared" si="15"/>
        <v>5</v>
      </c>
      <c r="D209" s="119" t="str">
        <f t="shared" si="16"/>
        <v>VIERNES</v>
      </c>
      <c r="E209" s="105">
        <v>1.0017719700000001</v>
      </c>
      <c r="F209" s="105">
        <v>218.14</v>
      </c>
      <c r="G209" s="104">
        <f t="shared" si="17"/>
        <v>0.58937465876037698</v>
      </c>
      <c r="H209" s="125">
        <v>5.6121699385270001E-2</v>
      </c>
      <c r="I209" s="126">
        <f t="shared" si="18"/>
        <v>0</v>
      </c>
      <c r="J209" s="97"/>
      <c r="K209" s="97"/>
      <c r="L209" s="71"/>
      <c r="M209" s="97"/>
      <c r="N209" s="97"/>
      <c r="O209" s="97"/>
      <c r="P209" s="117"/>
      <c r="Q209" s="71">
        <f t="shared" si="19"/>
        <v>205</v>
      </c>
      <c r="R209" s="122">
        <v>0</v>
      </c>
      <c r="V209" s="116"/>
      <c r="W209" s="116"/>
      <c r="X209" s="124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</row>
    <row r="210" spans="2:44" s="112" customFormat="1" x14ac:dyDescent="0.2">
      <c r="B210" s="118">
        <v>43460</v>
      </c>
      <c r="C210" s="130">
        <f t="shared" si="15"/>
        <v>3</v>
      </c>
      <c r="D210" s="119" t="str">
        <f t="shared" si="16"/>
        <v>MIERCOLES</v>
      </c>
      <c r="E210" s="105">
        <v>1.00173311</v>
      </c>
      <c r="F210" s="105">
        <v>213.14</v>
      </c>
      <c r="G210" s="104">
        <f t="shared" si="17"/>
        <v>0.57586556692118196</v>
      </c>
      <c r="H210" s="125">
        <v>5.6121699385270001E-2</v>
      </c>
      <c r="I210" s="126">
        <f t="shared" si="18"/>
        <v>0</v>
      </c>
      <c r="J210" s="97"/>
      <c r="K210" s="97"/>
      <c r="L210" s="71"/>
      <c r="M210" s="97"/>
      <c r="N210" s="97"/>
      <c r="O210" s="97"/>
      <c r="P210" s="117"/>
      <c r="Q210" s="71">
        <f t="shared" si="19"/>
        <v>206</v>
      </c>
      <c r="R210" s="122">
        <v>0</v>
      </c>
      <c r="V210" s="116"/>
      <c r="W210" s="116"/>
      <c r="X210" s="124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</row>
    <row r="211" spans="2:44" s="112" customFormat="1" x14ac:dyDescent="0.2">
      <c r="B211" s="118">
        <v>43461</v>
      </c>
      <c r="C211" s="130">
        <f t="shared" si="15"/>
        <v>4</v>
      </c>
      <c r="D211" s="119" t="str">
        <f t="shared" si="16"/>
        <v>JUEVES</v>
      </c>
      <c r="E211" s="105">
        <v>1.0017254099999999</v>
      </c>
      <c r="F211" s="105">
        <v>212.14</v>
      </c>
      <c r="G211" s="104">
        <f t="shared" si="17"/>
        <v>0.57316374855334395</v>
      </c>
      <c r="H211" s="125">
        <v>5.6121699385270001E-2</v>
      </c>
      <c r="I211" s="126">
        <f t="shared" si="18"/>
        <v>0</v>
      </c>
      <c r="J211" s="97"/>
      <c r="K211" s="97"/>
      <c r="L211" s="71"/>
      <c r="M211" s="97"/>
      <c r="N211" s="97"/>
      <c r="O211" s="97"/>
      <c r="P211" s="117"/>
      <c r="Q211" s="71">
        <f t="shared" si="19"/>
        <v>207</v>
      </c>
      <c r="R211" s="122">
        <v>0</v>
      </c>
      <c r="V211" s="116"/>
      <c r="W211" s="116"/>
      <c r="X211" s="124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</row>
    <row r="212" spans="2:44" s="112" customFormat="1" x14ac:dyDescent="0.2">
      <c r="B212" s="118">
        <v>43462</v>
      </c>
      <c r="C212" s="130">
        <f t="shared" si="15"/>
        <v>5</v>
      </c>
      <c r="D212" s="119" t="str">
        <f t="shared" si="16"/>
        <v>VIERNES</v>
      </c>
      <c r="E212" s="105">
        <v>1.00171773</v>
      </c>
      <c r="F212" s="105">
        <v>211.14</v>
      </c>
      <c r="G212" s="104">
        <f t="shared" si="17"/>
        <v>0.57046193018550495</v>
      </c>
      <c r="H212" s="125">
        <v>5.6121699385270001E-2</v>
      </c>
      <c r="I212" s="126">
        <f t="shared" si="18"/>
        <v>0</v>
      </c>
      <c r="J212" s="97"/>
      <c r="K212" s="97"/>
      <c r="L212" s="71"/>
      <c r="M212" s="97"/>
      <c r="N212" s="97"/>
      <c r="O212" s="97"/>
      <c r="P212" s="117"/>
      <c r="Q212" s="71">
        <f t="shared" si="19"/>
        <v>208</v>
      </c>
      <c r="R212" s="122">
        <v>0</v>
      </c>
      <c r="V212" s="116"/>
      <c r="W212" s="116"/>
      <c r="X212" s="124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</row>
    <row r="213" spans="2:44" s="112" customFormat="1" x14ac:dyDescent="0.2">
      <c r="B213" s="118">
        <v>43467</v>
      </c>
      <c r="C213" s="130">
        <f t="shared" si="15"/>
        <v>3</v>
      </c>
      <c r="D213" s="119" t="str">
        <f t="shared" si="16"/>
        <v>MIERCOLES</v>
      </c>
      <c r="E213" s="105">
        <v>1.00255088</v>
      </c>
      <c r="F213" s="105">
        <v>206.14</v>
      </c>
      <c r="G213" s="104">
        <f t="shared" si="17"/>
        <v>0.55716696982912495</v>
      </c>
      <c r="H213" s="125">
        <v>5.4562842882640003E-2</v>
      </c>
      <c r="I213" s="126">
        <f t="shared" si="18"/>
        <v>-2.8169418254885802E-2</v>
      </c>
      <c r="J213" s="97"/>
      <c r="K213" s="97"/>
      <c r="L213" s="71"/>
      <c r="M213" s="97"/>
      <c r="N213" s="97"/>
      <c r="O213" s="97"/>
      <c r="P213" s="117"/>
      <c r="Q213" s="71">
        <f t="shared" si="19"/>
        <v>209</v>
      </c>
      <c r="R213" s="122">
        <v>0</v>
      </c>
      <c r="V213" s="116"/>
      <c r="W213" s="116"/>
      <c r="X213" s="124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</row>
    <row r="214" spans="2:44" s="112" customFormat="1" x14ac:dyDescent="0.2">
      <c r="B214" s="118">
        <v>43468</v>
      </c>
      <c r="C214" s="130">
        <f t="shared" si="15"/>
        <v>4</v>
      </c>
      <c r="D214" s="119" t="str">
        <f t="shared" si="16"/>
        <v>JUEVES</v>
      </c>
      <c r="E214" s="105">
        <v>1.00253937</v>
      </c>
      <c r="F214" s="105">
        <v>205.14</v>
      </c>
      <c r="G214" s="104">
        <f t="shared" si="17"/>
        <v>0.55446411269402696</v>
      </c>
      <c r="H214" s="125">
        <v>5.4562842882640003E-2</v>
      </c>
      <c r="I214" s="126">
        <f t="shared" si="18"/>
        <v>0</v>
      </c>
      <c r="J214" s="97"/>
      <c r="K214" s="97"/>
      <c r="L214" s="71"/>
      <c r="M214" s="97"/>
      <c r="N214" s="97"/>
      <c r="O214" s="97"/>
      <c r="P214" s="117"/>
      <c r="Q214" s="71">
        <f t="shared" si="19"/>
        <v>210</v>
      </c>
      <c r="R214" s="122">
        <v>0</v>
      </c>
      <c r="V214" s="116"/>
      <c r="W214" s="116"/>
      <c r="X214" s="124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</row>
    <row r="215" spans="2:44" s="112" customFormat="1" x14ac:dyDescent="0.2">
      <c r="B215" s="118">
        <v>43469</v>
      </c>
      <c r="C215" s="130">
        <f t="shared" si="15"/>
        <v>5</v>
      </c>
      <c r="D215" s="119" t="str">
        <f t="shared" si="16"/>
        <v>VIERNES</v>
      </c>
      <c r="E215" s="105">
        <v>1.00252787</v>
      </c>
      <c r="F215" s="105">
        <v>204.14</v>
      </c>
      <c r="G215" s="104">
        <f t="shared" si="17"/>
        <v>0.55176125555892896</v>
      </c>
      <c r="H215" s="125">
        <v>5.4562842882640003E-2</v>
      </c>
      <c r="I215" s="126">
        <f t="shared" si="18"/>
        <v>0</v>
      </c>
      <c r="J215" s="97"/>
      <c r="K215" s="97"/>
      <c r="L215" s="71"/>
      <c r="M215" s="97"/>
      <c r="N215" s="97"/>
      <c r="O215" s="97"/>
      <c r="P215" s="117"/>
      <c r="Q215" s="71">
        <f t="shared" si="19"/>
        <v>211</v>
      </c>
      <c r="R215" s="122">
        <v>0</v>
      </c>
      <c r="V215" s="116"/>
      <c r="W215" s="116"/>
      <c r="X215" s="124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</row>
    <row r="216" spans="2:44" s="112" customFormat="1" x14ac:dyDescent="0.2">
      <c r="B216" s="118">
        <v>43472</v>
      </c>
      <c r="C216" s="130">
        <f t="shared" si="15"/>
        <v>1</v>
      </c>
      <c r="D216" s="119" t="str">
        <f t="shared" si="16"/>
        <v>LUNES</v>
      </c>
      <c r="E216" s="105">
        <v>1.0024935100000001</v>
      </c>
      <c r="F216" s="105">
        <v>201.14</v>
      </c>
      <c r="G216" s="104">
        <f t="shared" si="17"/>
        <v>0.54365268415363499</v>
      </c>
      <c r="H216" s="125">
        <v>5.4562842882640003E-2</v>
      </c>
      <c r="I216" s="126">
        <f t="shared" si="18"/>
        <v>0</v>
      </c>
      <c r="J216" s="97"/>
      <c r="K216" s="97"/>
      <c r="L216" s="71"/>
      <c r="M216" s="97"/>
      <c r="N216" s="97"/>
      <c r="O216" s="97"/>
      <c r="P216" s="117"/>
      <c r="Q216" s="71">
        <f t="shared" si="19"/>
        <v>212</v>
      </c>
      <c r="R216" s="122">
        <v>0</v>
      </c>
      <c r="V216" s="116"/>
      <c r="W216" s="116"/>
      <c r="X216" s="124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</row>
    <row r="217" spans="2:44" s="112" customFormat="1" x14ac:dyDescent="0.2">
      <c r="B217" s="118">
        <v>43473</v>
      </c>
      <c r="C217" s="130">
        <f t="shared" si="15"/>
        <v>2</v>
      </c>
      <c r="D217" s="119" t="str">
        <f t="shared" si="16"/>
        <v>MARTES</v>
      </c>
      <c r="E217" s="105">
        <v>1.00248209</v>
      </c>
      <c r="F217" s="105">
        <v>200.14</v>
      </c>
      <c r="G217" s="104">
        <f t="shared" si="17"/>
        <v>0.540949827018537</v>
      </c>
      <c r="H217" s="125">
        <v>5.4562842882640003E-2</v>
      </c>
      <c r="I217" s="126">
        <f t="shared" si="18"/>
        <v>0</v>
      </c>
      <c r="J217" s="97"/>
      <c r="K217" s="97"/>
      <c r="L217" s="71"/>
      <c r="M217" s="97"/>
      <c r="N217" s="97"/>
      <c r="O217" s="97"/>
      <c r="P217" s="117"/>
      <c r="Q217" s="71">
        <f t="shared" si="19"/>
        <v>213</v>
      </c>
      <c r="R217" s="122">
        <v>0</v>
      </c>
      <c r="V217" s="116"/>
      <c r="W217" s="116"/>
      <c r="X217" s="124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</row>
    <row r="218" spans="2:44" s="112" customFormat="1" x14ac:dyDescent="0.2">
      <c r="B218" s="118">
        <v>43474</v>
      </c>
      <c r="C218" s="130">
        <f t="shared" si="15"/>
        <v>3</v>
      </c>
      <c r="D218" s="119" t="str">
        <f t="shared" si="16"/>
        <v>MIERCOLES</v>
      </c>
      <c r="E218" s="105">
        <v>1.0024707100000001</v>
      </c>
      <c r="F218" s="105">
        <v>199.14</v>
      </c>
      <c r="G218" s="104">
        <f t="shared" si="17"/>
        <v>0.53824696988343901</v>
      </c>
      <c r="H218" s="125">
        <v>5.4562842882640003E-2</v>
      </c>
      <c r="I218" s="126">
        <f t="shared" si="18"/>
        <v>0</v>
      </c>
      <c r="J218" s="97"/>
      <c r="K218" s="97"/>
      <c r="L218" s="71"/>
      <c r="M218" s="97"/>
      <c r="N218" s="97"/>
      <c r="O218" s="97"/>
      <c r="P218" s="117"/>
      <c r="Q218" s="71">
        <f t="shared" si="19"/>
        <v>214</v>
      </c>
      <c r="R218" s="122">
        <v>0</v>
      </c>
      <c r="V218" s="116"/>
      <c r="W218" s="116"/>
      <c r="X218" s="124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</row>
    <row r="219" spans="2:44" s="112" customFormat="1" x14ac:dyDescent="0.2">
      <c r="B219" s="118">
        <v>43475</v>
      </c>
      <c r="C219" s="130">
        <f t="shared" si="15"/>
        <v>4</v>
      </c>
      <c r="D219" s="119" t="str">
        <f t="shared" si="16"/>
        <v>JUEVES</v>
      </c>
      <c r="E219" s="105">
        <v>1.0024593500000001</v>
      </c>
      <c r="F219" s="105">
        <v>198.14</v>
      </c>
      <c r="G219" s="104">
        <f t="shared" si="17"/>
        <v>0.53554411274834002</v>
      </c>
      <c r="H219" s="125">
        <v>5.4562842882640003E-2</v>
      </c>
      <c r="I219" s="126">
        <f t="shared" si="18"/>
        <v>0</v>
      </c>
      <c r="J219" s="97"/>
      <c r="K219" s="97"/>
      <c r="L219" s="71"/>
      <c r="M219" s="97"/>
      <c r="N219" s="97"/>
      <c r="O219" s="97"/>
      <c r="P219" s="117"/>
      <c r="Q219" s="71">
        <f t="shared" si="19"/>
        <v>215</v>
      </c>
      <c r="R219" s="122">
        <v>0</v>
      </c>
      <c r="V219" s="116"/>
      <c r="W219" s="116"/>
      <c r="X219" s="124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</row>
    <row r="220" spans="2:44" s="112" customFormat="1" x14ac:dyDescent="0.2">
      <c r="B220" s="118">
        <v>43476</v>
      </c>
      <c r="C220" s="130">
        <f t="shared" si="15"/>
        <v>5</v>
      </c>
      <c r="D220" s="119" t="str">
        <f t="shared" si="16"/>
        <v>VIERNES</v>
      </c>
      <c r="E220" s="105">
        <v>1.0024479900000001</v>
      </c>
      <c r="F220" s="105">
        <v>197.14</v>
      </c>
      <c r="G220" s="104">
        <f t="shared" si="17"/>
        <v>0.53284125561324203</v>
      </c>
      <c r="H220" s="125">
        <v>5.4562842882640003E-2</v>
      </c>
      <c r="I220" s="126">
        <f t="shared" si="18"/>
        <v>0</v>
      </c>
      <c r="J220" s="97"/>
      <c r="K220" s="97"/>
      <c r="L220" s="71"/>
      <c r="M220" s="97"/>
      <c r="N220" s="97"/>
      <c r="O220" s="97"/>
      <c r="P220" s="117"/>
      <c r="Q220" s="71">
        <f t="shared" si="19"/>
        <v>216</v>
      </c>
      <c r="R220" s="122">
        <v>0</v>
      </c>
      <c r="V220" s="116"/>
      <c r="W220" s="116"/>
      <c r="X220" s="124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</row>
    <row r="221" spans="2:44" s="112" customFormat="1" x14ac:dyDescent="0.2">
      <c r="B221" s="118">
        <v>43479</v>
      </c>
      <c r="C221" s="130">
        <f t="shared" si="15"/>
        <v>1</v>
      </c>
      <c r="D221" s="119" t="str">
        <f t="shared" si="16"/>
        <v>LUNES</v>
      </c>
      <c r="E221" s="105">
        <v>1.00241409</v>
      </c>
      <c r="F221" s="105">
        <v>194.14</v>
      </c>
      <c r="G221" s="104">
        <f t="shared" si="17"/>
        <v>0.52473268420794805</v>
      </c>
      <c r="H221" s="125">
        <v>5.4562842882640003E-2</v>
      </c>
      <c r="I221" s="126">
        <f t="shared" si="18"/>
        <v>0</v>
      </c>
      <c r="J221" s="97"/>
      <c r="K221" s="97"/>
      <c r="L221" s="71"/>
      <c r="M221" s="97"/>
      <c r="N221" s="97"/>
      <c r="O221" s="97"/>
      <c r="P221" s="117"/>
      <c r="Q221" s="71">
        <f t="shared" si="19"/>
        <v>217</v>
      </c>
      <c r="R221" s="122">
        <v>0</v>
      </c>
      <c r="S221" s="57" t="s">
        <v>285</v>
      </c>
      <c r="V221" s="116"/>
      <c r="W221" s="116"/>
      <c r="X221" s="124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</row>
    <row r="222" spans="2:44" s="112" customFormat="1" x14ac:dyDescent="0.2">
      <c r="B222" s="118">
        <v>43480</v>
      </c>
      <c r="C222" s="130">
        <f t="shared" si="15"/>
        <v>2</v>
      </c>
      <c r="D222" s="119" t="str">
        <f t="shared" si="16"/>
        <v>MARTES</v>
      </c>
      <c r="E222" s="105">
        <v>1.0024028300000001</v>
      </c>
      <c r="F222" s="105">
        <v>193.14</v>
      </c>
      <c r="G222" s="104">
        <f t="shared" si="17"/>
        <v>0.52202982707284995</v>
      </c>
      <c r="H222" s="125">
        <v>5.4562842882640003E-2</v>
      </c>
      <c r="I222" s="126">
        <f t="shared" si="18"/>
        <v>0</v>
      </c>
      <c r="J222" s="97"/>
      <c r="K222" s="97"/>
      <c r="L222" s="71"/>
      <c r="M222" s="97"/>
      <c r="N222" s="97"/>
      <c r="O222" s="97"/>
      <c r="P222" s="117"/>
      <c r="Q222" s="71">
        <f t="shared" si="19"/>
        <v>218</v>
      </c>
      <c r="R222" s="122">
        <v>0</v>
      </c>
      <c r="V222" s="116"/>
      <c r="W222" s="116"/>
      <c r="X222" s="124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</row>
    <row r="223" spans="2:44" s="112" customFormat="1" x14ac:dyDescent="0.2">
      <c r="B223" s="118">
        <v>43481</v>
      </c>
      <c r="C223" s="130">
        <f t="shared" si="15"/>
        <v>3</v>
      </c>
      <c r="D223" s="119" t="str">
        <f t="shared" si="16"/>
        <v>MIERCOLES</v>
      </c>
      <c r="E223" s="105">
        <v>1.00239159</v>
      </c>
      <c r="F223" s="105">
        <v>192.14</v>
      </c>
      <c r="G223" s="104">
        <f t="shared" si="17"/>
        <v>0.51932696993775196</v>
      </c>
      <c r="H223" s="125">
        <v>5.4562842882640003E-2</v>
      </c>
      <c r="I223" s="126">
        <f t="shared" si="18"/>
        <v>0</v>
      </c>
      <c r="J223" s="97"/>
      <c r="K223" s="97"/>
      <c r="L223" s="71"/>
      <c r="M223" s="97"/>
      <c r="N223" s="97"/>
      <c r="O223" s="97"/>
      <c r="P223" s="117"/>
      <c r="Q223" s="71">
        <f t="shared" si="19"/>
        <v>219</v>
      </c>
      <c r="R223" s="122">
        <v>0</v>
      </c>
      <c r="V223" s="116"/>
      <c r="W223" s="116"/>
      <c r="X223" s="124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</row>
    <row r="224" spans="2:44" s="112" customFormat="1" x14ac:dyDescent="0.2">
      <c r="B224" s="118">
        <v>43482</v>
      </c>
      <c r="C224" s="130">
        <f t="shared" si="15"/>
        <v>4</v>
      </c>
      <c r="D224" s="119" t="str">
        <f t="shared" si="16"/>
        <v>JUEVES</v>
      </c>
      <c r="E224" s="105">
        <v>1.00238038</v>
      </c>
      <c r="F224" s="105">
        <v>191.14</v>
      </c>
      <c r="G224" s="104">
        <f t="shared" si="17"/>
        <v>0.51662411280265397</v>
      </c>
      <c r="H224" s="125">
        <v>5.4562842882640003E-2</v>
      </c>
      <c r="I224" s="126">
        <f t="shared" si="18"/>
        <v>0</v>
      </c>
      <c r="J224" s="97"/>
      <c r="K224" s="97"/>
      <c r="L224" s="71"/>
      <c r="M224" s="97"/>
      <c r="N224" s="97"/>
      <c r="O224" s="97"/>
      <c r="P224" s="117"/>
      <c r="Q224" s="71">
        <f t="shared" si="19"/>
        <v>220</v>
      </c>
      <c r="R224" s="122">
        <v>0</v>
      </c>
      <c r="V224" s="116"/>
      <c r="W224" s="116"/>
      <c r="X224" s="124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</row>
    <row r="225" spans="2:44" s="112" customFormat="1" x14ac:dyDescent="0.2">
      <c r="B225" s="118">
        <v>43483</v>
      </c>
      <c r="C225" s="130">
        <f t="shared" si="15"/>
        <v>5</v>
      </c>
      <c r="D225" s="119" t="str">
        <f t="shared" si="16"/>
        <v>VIERNES</v>
      </c>
      <c r="E225" s="105">
        <v>1.0023691699999999</v>
      </c>
      <c r="F225" s="105">
        <v>190.14</v>
      </c>
      <c r="G225" s="104">
        <f t="shared" si="17"/>
        <v>0.51392125566755598</v>
      </c>
      <c r="H225" s="125">
        <v>5.4562842882640003E-2</v>
      </c>
      <c r="I225" s="126">
        <f t="shared" si="18"/>
        <v>0</v>
      </c>
      <c r="J225" s="97"/>
      <c r="K225" s="97"/>
      <c r="L225" s="71"/>
      <c r="M225" s="97"/>
      <c r="N225" s="97"/>
      <c r="O225" s="97"/>
      <c r="P225" s="117"/>
      <c r="Q225" s="71">
        <f t="shared" si="19"/>
        <v>221</v>
      </c>
      <c r="R225" s="122">
        <v>0</v>
      </c>
      <c r="V225" s="116"/>
      <c r="W225" s="116"/>
      <c r="X225" s="124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</row>
    <row r="226" spans="2:44" s="112" customFormat="1" x14ac:dyDescent="0.2">
      <c r="B226" s="118">
        <v>43486</v>
      </c>
      <c r="C226" s="130">
        <f t="shared" si="15"/>
        <v>1</v>
      </c>
      <c r="D226" s="119" t="str">
        <f t="shared" si="16"/>
        <v>LUNES</v>
      </c>
      <c r="E226" s="105">
        <v>1.00233572</v>
      </c>
      <c r="F226" s="105">
        <v>187.14</v>
      </c>
      <c r="G226" s="104">
        <f t="shared" si="17"/>
        <v>0.505812684262261</v>
      </c>
      <c r="H226" s="125">
        <v>5.4562842882640003E-2</v>
      </c>
      <c r="I226" s="126">
        <f t="shared" si="18"/>
        <v>0</v>
      </c>
      <c r="J226" s="97"/>
      <c r="K226" s="97"/>
      <c r="L226" s="71"/>
      <c r="M226" s="97"/>
      <c r="N226" s="97"/>
      <c r="O226" s="97"/>
      <c r="P226" s="117"/>
      <c r="Q226" s="71">
        <f t="shared" si="19"/>
        <v>222</v>
      </c>
      <c r="R226" s="122">
        <v>0</v>
      </c>
      <c r="V226" s="116"/>
      <c r="W226" s="116"/>
      <c r="X226" s="124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</row>
    <row r="227" spans="2:44" s="112" customFormat="1" x14ac:dyDescent="0.2">
      <c r="B227" s="118">
        <v>43487</v>
      </c>
      <c r="C227" s="130">
        <f t="shared" si="15"/>
        <v>2</v>
      </c>
      <c r="D227" s="119" t="str">
        <f t="shared" si="16"/>
        <v>MARTES</v>
      </c>
      <c r="E227" s="105">
        <v>1.00232462</v>
      </c>
      <c r="F227" s="105">
        <v>186.14</v>
      </c>
      <c r="G227" s="104">
        <f t="shared" si="17"/>
        <v>0.50310982712716301</v>
      </c>
      <c r="H227" s="125">
        <v>5.4562842882640003E-2</v>
      </c>
      <c r="I227" s="126">
        <f t="shared" si="18"/>
        <v>0</v>
      </c>
      <c r="J227" s="97"/>
      <c r="K227" s="97"/>
      <c r="L227" s="71"/>
      <c r="M227" s="97"/>
      <c r="N227" s="97"/>
      <c r="O227" s="97"/>
      <c r="P227" s="117"/>
      <c r="Q227" s="71">
        <f t="shared" si="19"/>
        <v>223</v>
      </c>
      <c r="R227" s="122">
        <v>0</v>
      </c>
      <c r="V227" s="116"/>
      <c r="W227" s="116"/>
      <c r="X227" s="124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</row>
    <row r="228" spans="2:44" s="112" customFormat="1" x14ac:dyDescent="0.2">
      <c r="B228" s="118">
        <v>43488</v>
      </c>
      <c r="C228" s="130">
        <f t="shared" si="15"/>
        <v>3</v>
      </c>
      <c r="D228" s="119" t="str">
        <f t="shared" si="16"/>
        <v>MIERCOLES</v>
      </c>
      <c r="E228" s="105">
        <v>1.00231352</v>
      </c>
      <c r="F228" s="105">
        <v>185.14</v>
      </c>
      <c r="G228" s="104">
        <f t="shared" si="17"/>
        <v>0.50040696999206502</v>
      </c>
      <c r="H228" s="125">
        <v>5.4562842882640003E-2</v>
      </c>
      <c r="I228" s="126">
        <f t="shared" si="18"/>
        <v>0</v>
      </c>
      <c r="J228" s="97"/>
      <c r="K228" s="97"/>
      <c r="L228" s="71"/>
      <c r="M228" s="97"/>
      <c r="N228" s="97"/>
      <c r="O228" s="97"/>
      <c r="P228" s="117"/>
      <c r="Q228" s="71">
        <f t="shared" si="19"/>
        <v>224</v>
      </c>
      <c r="R228" s="122">
        <v>0</v>
      </c>
      <c r="V228" s="116"/>
      <c r="W228" s="116"/>
      <c r="X228" s="124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</row>
    <row r="229" spans="2:44" s="112" customFormat="1" x14ac:dyDescent="0.2">
      <c r="B229" s="118">
        <v>43489</v>
      </c>
      <c r="C229" s="130">
        <f t="shared" si="15"/>
        <v>4</v>
      </c>
      <c r="D229" s="119" t="str">
        <f t="shared" si="16"/>
        <v>JUEVES</v>
      </c>
      <c r="E229" s="105">
        <v>1.0023024599999999</v>
      </c>
      <c r="F229" s="105">
        <v>184.14</v>
      </c>
      <c r="G229" s="104">
        <f t="shared" si="17"/>
        <v>0.49770411285696697</v>
      </c>
      <c r="H229" s="125">
        <v>5.4562842882640003E-2</v>
      </c>
      <c r="I229" s="126">
        <f t="shared" si="18"/>
        <v>0</v>
      </c>
      <c r="J229" s="97"/>
      <c r="K229" s="97"/>
      <c r="L229" s="71"/>
      <c r="M229" s="97"/>
      <c r="N229" s="97"/>
      <c r="O229" s="97"/>
      <c r="P229" s="117"/>
      <c r="Q229" s="71">
        <f t="shared" si="19"/>
        <v>225</v>
      </c>
      <c r="R229" s="122">
        <v>0</v>
      </c>
      <c r="V229" s="116"/>
      <c r="W229" s="116"/>
      <c r="X229" s="124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</row>
    <row r="230" spans="2:44" s="112" customFormat="1" x14ac:dyDescent="0.2">
      <c r="B230" s="118">
        <v>43490</v>
      </c>
      <c r="C230" s="130">
        <f t="shared" si="15"/>
        <v>5</v>
      </c>
      <c r="D230" s="119" t="str">
        <f t="shared" si="16"/>
        <v>VIERNES</v>
      </c>
      <c r="E230" s="105">
        <v>1.00229141</v>
      </c>
      <c r="F230" s="105">
        <v>183.14</v>
      </c>
      <c r="G230" s="104">
        <f t="shared" si="17"/>
        <v>0.49500125572186898</v>
      </c>
      <c r="H230" s="125">
        <v>5.4562842882640003E-2</v>
      </c>
      <c r="I230" s="126">
        <f t="shared" si="18"/>
        <v>0</v>
      </c>
      <c r="J230" s="97"/>
      <c r="K230" s="97"/>
      <c r="L230" s="71"/>
      <c r="M230" s="97"/>
      <c r="N230" s="97"/>
      <c r="O230" s="97"/>
      <c r="P230" s="117"/>
      <c r="Q230" s="71">
        <f t="shared" si="19"/>
        <v>226</v>
      </c>
      <c r="R230" s="122">
        <v>0</v>
      </c>
      <c r="V230" s="116"/>
      <c r="W230" s="116"/>
      <c r="X230" s="124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</row>
    <row r="231" spans="2:44" s="112" customFormat="1" x14ac:dyDescent="0.2">
      <c r="B231" s="118">
        <v>43493</v>
      </c>
      <c r="C231" s="130">
        <f t="shared" si="15"/>
        <v>1</v>
      </c>
      <c r="D231" s="119" t="str">
        <f t="shared" si="16"/>
        <v>LUNES</v>
      </c>
      <c r="E231" s="105">
        <v>1.00225841</v>
      </c>
      <c r="F231" s="105">
        <v>180.14</v>
      </c>
      <c r="G231" s="104">
        <f t="shared" si="17"/>
        <v>0.48689268431657401</v>
      </c>
      <c r="H231" s="125">
        <v>5.4562842882640003E-2</v>
      </c>
      <c r="I231" s="126">
        <f t="shared" si="18"/>
        <v>0</v>
      </c>
      <c r="J231" s="97"/>
      <c r="K231" s="97"/>
      <c r="L231" s="71"/>
      <c r="M231" s="97"/>
      <c r="N231" s="97"/>
      <c r="O231" s="97"/>
      <c r="P231" s="117"/>
      <c r="Q231" s="71">
        <f t="shared" si="19"/>
        <v>227</v>
      </c>
      <c r="R231" s="122">
        <v>0</v>
      </c>
      <c r="V231" s="116"/>
      <c r="W231" s="116"/>
      <c r="X231" s="124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</row>
    <row r="232" spans="2:44" s="112" customFormat="1" x14ac:dyDescent="0.2">
      <c r="B232" s="118">
        <v>43494</v>
      </c>
      <c r="C232" s="130">
        <f t="shared" si="15"/>
        <v>2</v>
      </c>
      <c r="D232" s="119" t="str">
        <f t="shared" si="16"/>
        <v>MARTES</v>
      </c>
      <c r="E232" s="105">
        <v>1.00224745</v>
      </c>
      <c r="F232" s="105">
        <v>179.14</v>
      </c>
      <c r="G232" s="104">
        <f t="shared" si="17"/>
        <v>0.48418982718147602</v>
      </c>
      <c r="H232" s="125">
        <v>5.4562842882640003E-2</v>
      </c>
      <c r="I232" s="126">
        <f t="shared" si="18"/>
        <v>0</v>
      </c>
      <c r="J232" s="97"/>
      <c r="K232" s="97"/>
      <c r="L232" s="71"/>
      <c r="M232" s="97"/>
      <c r="N232" s="97"/>
      <c r="O232" s="97"/>
      <c r="P232" s="117"/>
      <c r="Q232" s="71">
        <f t="shared" si="19"/>
        <v>228</v>
      </c>
      <c r="R232" s="138">
        <v>0</v>
      </c>
      <c r="V232" s="116"/>
      <c r="W232" s="116"/>
      <c r="X232" s="124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</row>
    <row r="233" spans="2:44" s="112" customFormat="1" x14ac:dyDescent="0.2">
      <c r="B233" s="118">
        <v>43495</v>
      </c>
      <c r="C233" s="130">
        <f t="shared" si="15"/>
        <v>3</v>
      </c>
      <c r="D233" s="119" t="str">
        <f t="shared" si="16"/>
        <v>MIERCOLES</v>
      </c>
      <c r="E233" s="105">
        <v>1.0022365099999999</v>
      </c>
      <c r="F233" s="105">
        <v>178.14</v>
      </c>
      <c r="G233" s="104">
        <f t="shared" si="17"/>
        <v>0.48148697004637803</v>
      </c>
      <c r="H233" s="125">
        <v>5.4562842882640003E-2</v>
      </c>
      <c r="I233" s="126">
        <f t="shared" si="18"/>
        <v>0</v>
      </c>
      <c r="J233" s="97"/>
      <c r="K233" s="97"/>
      <c r="L233" s="71"/>
      <c r="M233" s="97"/>
      <c r="N233" s="97"/>
      <c r="O233" s="97"/>
      <c r="P233" s="117"/>
      <c r="Q233" s="71">
        <f t="shared" si="19"/>
        <v>229</v>
      </c>
      <c r="R233" s="122">
        <v>0</v>
      </c>
      <c r="V233" s="116"/>
      <c r="W233" s="116"/>
      <c r="X233" s="124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</row>
    <row r="234" spans="2:44" s="112" customFormat="1" x14ac:dyDescent="0.2">
      <c r="B234" s="118">
        <v>43496</v>
      </c>
      <c r="C234" s="130">
        <f t="shared" si="15"/>
        <v>4</v>
      </c>
      <c r="D234" s="119" t="str">
        <f t="shared" si="16"/>
        <v>JUEVES</v>
      </c>
      <c r="E234" s="105">
        <v>1.00219868</v>
      </c>
      <c r="F234" s="105">
        <v>179.72</v>
      </c>
      <c r="G234" s="104">
        <f t="shared" si="17"/>
        <v>0.48575748431983301</v>
      </c>
      <c r="H234" s="125">
        <v>5.4562842882640003E-2</v>
      </c>
      <c r="I234" s="126">
        <f t="shared" si="18"/>
        <v>0</v>
      </c>
      <c r="J234" s="97"/>
      <c r="K234" s="97"/>
      <c r="L234" s="71"/>
      <c r="M234" s="97"/>
      <c r="N234" s="97"/>
      <c r="O234" s="97"/>
      <c r="P234" s="117"/>
      <c r="Q234" s="71">
        <f t="shared" si="19"/>
        <v>230</v>
      </c>
      <c r="R234" s="122">
        <v>0</v>
      </c>
      <c r="V234" s="116"/>
      <c r="W234" s="116"/>
      <c r="X234" s="124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</row>
    <row r="235" spans="2:44" s="112" customFormat="1" x14ac:dyDescent="0.2">
      <c r="B235" s="118">
        <v>43497</v>
      </c>
      <c r="C235" s="130">
        <f t="shared" si="15"/>
        <v>5</v>
      </c>
      <c r="D235" s="119" t="str">
        <f t="shared" si="16"/>
        <v>VIERNES</v>
      </c>
      <c r="E235" s="105">
        <v>1.00436934</v>
      </c>
      <c r="F235" s="105">
        <v>178.72</v>
      </c>
      <c r="G235" s="104">
        <f t="shared" si="17"/>
        <v>0.48361243033483697</v>
      </c>
      <c r="H235" s="125">
        <v>4.988627176043E-2</v>
      </c>
      <c r="I235" s="126">
        <f t="shared" si="18"/>
        <v>-8.9607267913040495E-2</v>
      </c>
      <c r="J235" s="97"/>
      <c r="K235" s="97"/>
      <c r="L235" s="71"/>
      <c r="M235" s="97"/>
      <c r="N235" s="97"/>
      <c r="O235" s="97"/>
      <c r="P235" s="117"/>
      <c r="Q235" s="71">
        <f t="shared" si="19"/>
        <v>231</v>
      </c>
      <c r="R235" s="122">
        <v>0</v>
      </c>
      <c r="V235" s="116"/>
      <c r="W235" s="116"/>
      <c r="X235" s="124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</row>
    <row r="236" spans="2:44" s="112" customFormat="1" x14ac:dyDescent="0.2">
      <c r="B236" s="118">
        <v>43500</v>
      </c>
      <c r="C236" s="130">
        <f t="shared" si="15"/>
        <v>1</v>
      </c>
      <c r="D236" s="119" t="str">
        <f t="shared" si="16"/>
        <v>LUNES</v>
      </c>
      <c r="E236" s="105">
        <v>1.00429463</v>
      </c>
      <c r="F236" s="105">
        <v>175.72</v>
      </c>
      <c r="G236" s="104">
        <f t="shared" si="17"/>
        <v>0.475494495626889</v>
      </c>
      <c r="H236" s="125">
        <v>4.988627176043E-2</v>
      </c>
      <c r="I236" s="126">
        <f t="shared" si="18"/>
        <v>0</v>
      </c>
      <c r="J236" s="97"/>
      <c r="K236" s="97"/>
      <c r="L236" s="71"/>
      <c r="M236" s="97"/>
      <c r="N236" s="97"/>
      <c r="O236" s="97"/>
      <c r="P236" s="117"/>
      <c r="Q236" s="71">
        <f t="shared" si="19"/>
        <v>232</v>
      </c>
      <c r="R236" s="122">
        <v>0</v>
      </c>
      <c r="V236" s="116"/>
      <c r="W236" s="116"/>
      <c r="X236" s="124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</row>
    <row r="237" spans="2:44" s="112" customFormat="1" x14ac:dyDescent="0.2">
      <c r="B237" s="118">
        <v>43501</v>
      </c>
      <c r="C237" s="130">
        <f t="shared" si="15"/>
        <v>2</v>
      </c>
      <c r="D237" s="119" t="str">
        <f t="shared" si="16"/>
        <v>MARTES</v>
      </c>
      <c r="E237" s="105">
        <v>1.0042697700000001</v>
      </c>
      <c r="F237" s="105">
        <v>174.72</v>
      </c>
      <c r="G237" s="104">
        <f t="shared" si="17"/>
        <v>0.47278851739090599</v>
      </c>
      <c r="H237" s="125">
        <v>4.988627176043E-2</v>
      </c>
      <c r="I237" s="126">
        <f t="shared" si="18"/>
        <v>0</v>
      </c>
      <c r="J237" s="139"/>
      <c r="K237" s="139"/>
      <c r="L237" s="140"/>
      <c r="M237" s="139"/>
      <c r="N237" s="139"/>
      <c r="O237" s="139"/>
      <c r="P237" s="117"/>
      <c r="Q237" s="71">
        <f t="shared" si="19"/>
        <v>233</v>
      </c>
      <c r="R237" s="122">
        <v>0</v>
      </c>
      <c r="V237" s="116"/>
      <c r="W237" s="116"/>
      <c r="X237" s="124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</row>
    <row r="238" spans="2:44" s="112" customFormat="1" x14ac:dyDescent="0.2">
      <c r="B238" s="118">
        <v>43502</v>
      </c>
      <c r="C238" s="130">
        <f t="shared" si="15"/>
        <v>3</v>
      </c>
      <c r="D238" s="119" t="str">
        <f t="shared" si="16"/>
        <v>MIERCOLES</v>
      </c>
      <c r="E238" s="105">
        <v>1.00424493</v>
      </c>
      <c r="F238" s="105">
        <v>173.72</v>
      </c>
      <c r="G238" s="104">
        <f t="shared" si="17"/>
        <v>0.47008253915492298</v>
      </c>
      <c r="H238" s="125">
        <v>4.988627176043E-2</v>
      </c>
      <c r="I238" s="126">
        <f t="shared" si="18"/>
        <v>0</v>
      </c>
      <c r="J238" s="139"/>
      <c r="K238" s="139"/>
      <c r="L238" s="140"/>
      <c r="M238" s="139"/>
      <c r="N238" s="139"/>
      <c r="O238" s="139"/>
      <c r="P238" s="117"/>
      <c r="Q238" s="71">
        <f t="shared" si="19"/>
        <v>234</v>
      </c>
      <c r="R238" s="122">
        <v>0</v>
      </c>
      <c r="V238" s="116"/>
      <c r="W238" s="116"/>
      <c r="X238" s="124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</row>
    <row r="239" spans="2:44" s="112" customFormat="1" x14ac:dyDescent="0.2">
      <c r="B239" s="118">
        <v>43503</v>
      </c>
      <c r="C239" s="130">
        <f t="shared" si="15"/>
        <v>4</v>
      </c>
      <c r="D239" s="119" t="str">
        <f t="shared" si="16"/>
        <v>JUEVES</v>
      </c>
      <c r="E239" s="105">
        <v>1.0042200999999999</v>
      </c>
      <c r="F239" s="105">
        <v>172.72</v>
      </c>
      <c r="G239" s="104">
        <f t="shared" si="17"/>
        <v>0.46737656091893998</v>
      </c>
      <c r="H239" s="125">
        <v>4.988627176043E-2</v>
      </c>
      <c r="I239" s="126">
        <f t="shared" si="18"/>
        <v>0</v>
      </c>
      <c r="J239" s="139"/>
      <c r="K239" s="139"/>
      <c r="L239" s="140"/>
      <c r="M239" s="139"/>
      <c r="N239" s="139"/>
      <c r="O239" s="139"/>
      <c r="P239" s="117"/>
      <c r="Q239" s="71">
        <f t="shared" si="19"/>
        <v>235</v>
      </c>
      <c r="R239" s="122">
        <v>0</v>
      </c>
      <c r="V239" s="116"/>
      <c r="W239" s="116"/>
      <c r="X239" s="124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</row>
    <row r="240" spans="2:44" s="117" customFormat="1" x14ac:dyDescent="0.2">
      <c r="B240" s="118">
        <v>43504</v>
      </c>
      <c r="C240" s="130">
        <f t="shared" si="15"/>
        <v>5</v>
      </c>
      <c r="D240" s="119" t="str">
        <f t="shared" si="16"/>
        <v>VIERNES</v>
      </c>
      <c r="E240" s="105">
        <v>1.0041952999999999</v>
      </c>
      <c r="F240" s="105">
        <v>171.72</v>
      </c>
      <c r="G240" s="104">
        <f t="shared" si="17"/>
        <v>0.46467058268295802</v>
      </c>
      <c r="H240" s="125">
        <v>4.988627176043E-2</v>
      </c>
      <c r="I240" s="126">
        <f t="shared" si="18"/>
        <v>0</v>
      </c>
      <c r="J240" s="141"/>
      <c r="K240" s="141"/>
      <c r="L240" s="142"/>
      <c r="M240" s="141"/>
      <c r="N240" s="143"/>
      <c r="O240" s="143"/>
      <c r="Q240" s="71">
        <f t="shared" si="19"/>
        <v>236</v>
      </c>
      <c r="R240" s="122">
        <v>0</v>
      </c>
      <c r="S240" s="112"/>
      <c r="T240" s="112"/>
      <c r="U240" s="112"/>
      <c r="V240" s="116"/>
      <c r="W240" s="116"/>
      <c r="X240" s="124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</row>
    <row r="241" spans="2:44" s="112" customFormat="1" x14ac:dyDescent="0.2">
      <c r="B241" s="118">
        <v>43507</v>
      </c>
      <c r="C241" s="130">
        <f t="shared" si="15"/>
        <v>1</v>
      </c>
      <c r="D241" s="119" t="str">
        <f t="shared" si="16"/>
        <v>LUNES</v>
      </c>
      <c r="E241" s="105">
        <v>1.00412097</v>
      </c>
      <c r="F241" s="105">
        <v>168.72</v>
      </c>
      <c r="G241" s="104">
        <f t="shared" si="17"/>
        <v>0.456552647975009</v>
      </c>
      <c r="H241" s="125">
        <v>4.988627176043E-2</v>
      </c>
      <c r="I241" s="126">
        <f t="shared" si="18"/>
        <v>0</v>
      </c>
      <c r="J241" s="141"/>
      <c r="K241" s="141"/>
      <c r="L241" s="142"/>
      <c r="M241" s="141"/>
      <c r="N241" s="143"/>
      <c r="O241" s="143"/>
      <c r="P241" s="117"/>
      <c r="Q241" s="71">
        <f t="shared" si="19"/>
        <v>237</v>
      </c>
      <c r="R241" s="122">
        <v>0</v>
      </c>
      <c r="V241" s="116"/>
      <c r="W241" s="116"/>
      <c r="X241" s="124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</row>
    <row r="242" spans="2:44" s="112" customFormat="1" x14ac:dyDescent="0.2">
      <c r="B242" s="118">
        <v>43508</v>
      </c>
      <c r="C242" s="130">
        <f t="shared" si="15"/>
        <v>2</v>
      </c>
      <c r="D242" s="119" t="str">
        <f t="shared" si="16"/>
        <v>MARTES</v>
      </c>
      <c r="E242" s="105">
        <v>1.00409623</v>
      </c>
      <c r="F242" s="105">
        <v>167.72</v>
      </c>
      <c r="G242" s="104">
        <f t="shared" si="17"/>
        <v>0.45384666973902699</v>
      </c>
      <c r="H242" s="125">
        <v>4.988627176043E-2</v>
      </c>
      <c r="I242" s="126">
        <f t="shared" si="18"/>
        <v>0</v>
      </c>
      <c r="J242" s="141"/>
      <c r="K242" s="141"/>
      <c r="L242" s="142"/>
      <c r="M242" s="141"/>
      <c r="N242" s="143"/>
      <c r="O242" s="143"/>
      <c r="P242" s="117"/>
      <c r="Q242" s="71">
        <f t="shared" si="19"/>
        <v>238</v>
      </c>
      <c r="R242" s="122">
        <v>6.9295514611499999E-6</v>
      </c>
      <c r="S242" s="144"/>
      <c r="V242" s="116"/>
      <c r="W242" s="116"/>
      <c r="X242" s="124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</row>
    <row r="243" spans="2:44" s="112" customFormat="1" x14ac:dyDescent="0.2">
      <c r="B243" s="118">
        <v>43509</v>
      </c>
      <c r="C243" s="130">
        <f t="shared" si="15"/>
        <v>3</v>
      </c>
      <c r="D243" s="119" t="str">
        <f t="shared" si="16"/>
        <v>MIERCOLES</v>
      </c>
      <c r="E243" s="105">
        <v>1.0040715200000001</v>
      </c>
      <c r="F243" s="105">
        <v>166.72</v>
      </c>
      <c r="G243" s="104">
        <f t="shared" si="17"/>
        <v>0.45114069150304398</v>
      </c>
      <c r="H243" s="125">
        <v>4.988627176043E-2</v>
      </c>
      <c r="I243" s="126">
        <f t="shared" si="18"/>
        <v>0</v>
      </c>
      <c r="J243" s="141"/>
      <c r="K243" s="141"/>
      <c r="L243" s="142"/>
      <c r="M243" s="141"/>
      <c r="N243" s="58"/>
      <c r="O243" s="143"/>
      <c r="P243" s="117"/>
      <c r="Q243" s="71">
        <f t="shared" si="19"/>
        <v>239</v>
      </c>
      <c r="R243" s="122">
        <v>2.8162104957973801E-2</v>
      </c>
      <c r="V243" s="116"/>
      <c r="W243" s="116"/>
      <c r="X243" s="124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</row>
    <row r="244" spans="2:44" s="112" customFormat="1" x14ac:dyDescent="0.2">
      <c r="B244" s="118">
        <v>43510</v>
      </c>
      <c r="C244" s="130">
        <f t="shared" si="15"/>
        <v>4</v>
      </c>
      <c r="D244" s="119" t="str">
        <f t="shared" si="16"/>
        <v>JUEVES</v>
      </c>
      <c r="E244" s="105">
        <v>1.00404681</v>
      </c>
      <c r="F244" s="105">
        <v>165.72</v>
      </c>
      <c r="G244" s="104">
        <f t="shared" si="17"/>
        <v>0.44843471326706102</v>
      </c>
      <c r="H244" s="125">
        <v>4.988627176043E-2</v>
      </c>
      <c r="I244" s="126">
        <f t="shared" si="18"/>
        <v>0</v>
      </c>
      <c r="J244" s="141"/>
      <c r="K244" s="141"/>
      <c r="L244" s="142"/>
      <c r="M244" s="141"/>
      <c r="N244" s="58"/>
      <c r="O244" s="143"/>
      <c r="P244" s="117"/>
      <c r="Q244" s="71">
        <f t="shared" si="19"/>
        <v>240</v>
      </c>
      <c r="R244" s="122">
        <v>5.40718611258032E-2</v>
      </c>
      <c r="S244" s="144"/>
      <c r="V244" s="116"/>
      <c r="W244" s="116"/>
      <c r="X244" s="124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</row>
    <row r="245" spans="2:44" s="112" customFormat="1" x14ac:dyDescent="0.2">
      <c r="B245" s="118">
        <v>43511</v>
      </c>
      <c r="C245" s="130">
        <f t="shared" si="15"/>
        <v>5</v>
      </c>
      <c r="D245" s="119" t="str">
        <f t="shared" si="16"/>
        <v>VIERNES</v>
      </c>
      <c r="E245" s="105">
        <v>1.0040221300000001</v>
      </c>
      <c r="F245" s="105">
        <v>164.72</v>
      </c>
      <c r="G245" s="104">
        <f t="shared" si="17"/>
        <v>0.44572873503107802</v>
      </c>
      <c r="H245" s="125">
        <v>4.988627176043E-2</v>
      </c>
      <c r="I245" s="126">
        <f t="shared" si="18"/>
        <v>0</v>
      </c>
      <c r="J245" s="141"/>
      <c r="K245" s="141"/>
      <c r="L245" s="142"/>
      <c r="M245" s="141"/>
      <c r="N245" s="97"/>
      <c r="O245" s="143"/>
      <c r="P245" s="117"/>
      <c r="Q245" s="71">
        <f t="shared" si="19"/>
        <v>241</v>
      </c>
      <c r="R245" s="122">
        <v>8.2228772301928099E-2</v>
      </c>
      <c r="S245" s="129"/>
      <c r="V245" s="116"/>
      <c r="W245" s="116"/>
      <c r="X245" s="124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</row>
    <row r="246" spans="2:44" s="112" customFormat="1" x14ac:dyDescent="0.2">
      <c r="B246" s="118">
        <v>43514</v>
      </c>
      <c r="C246" s="130">
        <f t="shared" si="15"/>
        <v>1</v>
      </c>
      <c r="D246" s="119" t="str">
        <f t="shared" si="16"/>
        <v>LUNES</v>
      </c>
      <c r="E246" s="105">
        <v>1.00394819</v>
      </c>
      <c r="F246" s="105">
        <v>161.72</v>
      </c>
      <c r="G246" s="104">
        <f t="shared" si="17"/>
        <v>0.43761080032312999</v>
      </c>
      <c r="H246" s="125">
        <v>4.988627176043E-2</v>
      </c>
      <c r="I246" s="126">
        <f t="shared" si="18"/>
        <v>0</v>
      </c>
      <c r="J246" s="141"/>
      <c r="K246" s="141"/>
      <c r="L246" s="142"/>
      <c r="M246" s="141"/>
      <c r="N246" s="143"/>
      <c r="O246" s="143"/>
      <c r="P246" s="117"/>
      <c r="Q246" s="145"/>
      <c r="R246" s="117"/>
      <c r="S246" s="117"/>
      <c r="T246" s="117"/>
      <c r="U246" s="117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</row>
    <row r="247" spans="2:44" s="117" customFormat="1" x14ac:dyDescent="0.2">
      <c r="B247" s="118">
        <v>43515</v>
      </c>
      <c r="C247" s="130">
        <f t="shared" si="15"/>
        <v>2</v>
      </c>
      <c r="D247" s="119" t="str">
        <f t="shared" si="16"/>
        <v>MARTES</v>
      </c>
      <c r="E247" s="146"/>
      <c r="F247" s="146"/>
      <c r="G247" s="147"/>
      <c r="H247" s="148"/>
      <c r="I247" s="149"/>
      <c r="J247" s="150">
        <f>'Banda de Pre Cot Nac RF'!T8</f>
        <v>6.5787867174866496E-3</v>
      </c>
      <c r="K247" s="150">
        <f>'Banda de Pre Cot Nac RF'!T7</f>
        <v>-1.34524360329632E-2</v>
      </c>
      <c r="L247" s="150">
        <f>ROUND(((1+J247)*H246)-H246,$F$1)</f>
        <v>3.2819114204244999E-4</v>
      </c>
      <c r="M247" s="150">
        <f>ROUND((((1+K247)*H246)-H246),$F$1)</f>
        <v>-6.7109187978021002E-4</v>
      </c>
      <c r="N247" s="151">
        <f>ROUND((((M247*-G246))+1)*E246,$F$1)</f>
        <v>1.00424302654741</v>
      </c>
      <c r="O247" s="151">
        <f>ROUND((((L247*-G246))+1)*E246,$F$1)</f>
        <v>1.00380400297267</v>
      </c>
      <c r="Q247" s="152"/>
      <c r="R247" s="152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</row>
    <row r="248" spans="2:44" s="117" customFormat="1" x14ac:dyDescent="0.2">
      <c r="B248" s="153"/>
      <c r="C248" s="154"/>
      <c r="D248" s="154"/>
      <c r="E248" s="155"/>
      <c r="F248" s="156"/>
      <c r="G248" s="156"/>
      <c r="H248" s="157"/>
      <c r="I248" s="158"/>
      <c r="J248" s="159"/>
      <c r="K248" s="159"/>
      <c r="L248" s="160"/>
      <c r="M248" s="159"/>
      <c r="N248" s="161"/>
      <c r="O248" s="161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</row>
    <row r="249" spans="2:44" s="117" customFormat="1" x14ac:dyDescent="0.2">
      <c r="B249" s="153"/>
      <c r="C249" s="154"/>
      <c r="D249" s="154"/>
      <c r="E249" s="155"/>
      <c r="F249" s="156"/>
      <c r="G249" s="156"/>
      <c r="H249" s="157"/>
      <c r="I249" s="158"/>
      <c r="J249" s="159"/>
      <c r="K249" s="159"/>
      <c r="L249" s="160"/>
      <c r="M249" s="159"/>
      <c r="N249" s="161"/>
      <c r="O249" s="161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</row>
    <row r="250" spans="2:44" s="117" customFormat="1" x14ac:dyDescent="0.2">
      <c r="B250" s="153"/>
      <c r="C250" s="154"/>
      <c r="D250" s="154"/>
      <c r="E250" s="155"/>
      <c r="F250" s="156"/>
      <c r="G250" s="156"/>
      <c r="H250" s="157"/>
      <c r="I250" s="158"/>
      <c r="J250" s="159"/>
      <c r="K250" s="145"/>
      <c r="L250" s="162"/>
      <c r="M250" s="159"/>
      <c r="N250" s="161"/>
      <c r="O250" s="161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</row>
    <row r="251" spans="2:44" s="117" customFormat="1" x14ac:dyDescent="0.2">
      <c r="B251" s="153"/>
      <c r="C251" s="154"/>
      <c r="D251" s="154"/>
      <c r="E251" s="155"/>
      <c r="F251" s="156"/>
      <c r="G251" s="156"/>
      <c r="H251" s="157"/>
      <c r="I251" s="158"/>
      <c r="J251" s="159"/>
      <c r="K251" s="159"/>
      <c r="L251" s="160"/>
      <c r="M251" s="159"/>
      <c r="N251" s="161"/>
      <c r="O251" s="161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</row>
    <row r="252" spans="2:44" s="117" customFormat="1" x14ac:dyDescent="0.2">
      <c r="B252" s="153"/>
      <c r="C252" s="154"/>
      <c r="D252" s="154"/>
      <c r="E252" s="155"/>
      <c r="F252" s="156"/>
      <c r="G252" s="156"/>
      <c r="H252" s="157"/>
      <c r="I252" s="158"/>
      <c r="J252" s="159"/>
      <c r="K252" s="159"/>
      <c r="L252" s="160"/>
      <c r="M252" s="159"/>
      <c r="N252" s="161"/>
      <c r="O252" s="161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</row>
    <row r="253" spans="2:44" s="117" customFormat="1" x14ac:dyDescent="0.2">
      <c r="B253" s="153"/>
      <c r="C253" s="154"/>
      <c r="D253" s="154"/>
      <c r="E253" s="155"/>
      <c r="F253" s="156"/>
      <c r="G253" s="156"/>
      <c r="H253" s="157"/>
      <c r="I253" s="158"/>
      <c r="J253" s="159"/>
      <c r="K253" s="159"/>
      <c r="L253" s="160"/>
      <c r="M253" s="159"/>
      <c r="N253" s="161"/>
      <c r="O253" s="161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</row>
    <row r="254" spans="2:44" s="117" customFormat="1" x14ac:dyDescent="0.2">
      <c r="B254" s="153"/>
      <c r="C254" s="154"/>
      <c r="D254" s="154"/>
      <c r="E254" s="155"/>
      <c r="F254" s="156"/>
      <c r="G254" s="156"/>
      <c r="H254" s="157"/>
      <c r="I254" s="158"/>
      <c r="J254" s="159"/>
      <c r="K254" s="159"/>
      <c r="L254" s="160"/>
      <c r="M254" s="159"/>
      <c r="N254" s="161"/>
      <c r="O254" s="161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</row>
    <row r="255" spans="2:44" s="117" customFormat="1" x14ac:dyDescent="0.2">
      <c r="B255" s="153"/>
      <c r="C255" s="154"/>
      <c r="D255" s="154"/>
      <c r="E255" s="155"/>
      <c r="F255" s="156"/>
      <c r="G255" s="156"/>
      <c r="H255" s="157"/>
      <c r="I255" s="158"/>
      <c r="J255" s="159"/>
      <c r="K255" s="159"/>
      <c r="L255" s="160"/>
      <c r="M255" s="159"/>
      <c r="N255" s="161"/>
      <c r="O255" s="161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</row>
  </sheetData>
  <mergeCells count="1">
    <mergeCell ref="Q2:U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9"/>
  <sheetViews>
    <sheetView showGridLines="0" zoomScale="120" zoomScaleNormal="120" workbookViewId="0">
      <pane ySplit="3" topLeftCell="A4" activePane="bottomLeft" state="frozen"/>
      <selection pane="bottomLeft" activeCell="L10" sqref="L10"/>
    </sheetView>
  </sheetViews>
  <sheetFormatPr baseColWidth="10" defaultColWidth="11.42578125" defaultRowHeight="11.25" x14ac:dyDescent="0.2"/>
  <cols>
    <col min="1" max="1" width="4.140625" style="96" customWidth="1"/>
    <col min="2" max="2" width="12.85546875" style="96" bestFit="1" customWidth="1"/>
    <col min="3" max="3" width="18.5703125" style="96" bestFit="1" customWidth="1"/>
    <col min="4" max="5" width="18.42578125" style="96" bestFit="1" customWidth="1"/>
    <col min="6" max="6" width="18" style="96" bestFit="1" customWidth="1"/>
    <col min="7" max="9" width="18.5703125" style="96" bestFit="1" customWidth="1"/>
    <col min="10" max="10" width="6" style="96" customWidth="1"/>
    <col min="11" max="11" width="6.5703125" style="96" bestFit="1" customWidth="1"/>
    <col min="12" max="12" width="18.42578125" style="96" bestFit="1" customWidth="1"/>
    <col min="13" max="13" width="24.5703125" style="96" bestFit="1" customWidth="1"/>
    <col min="14" max="14" width="18.42578125" style="96" bestFit="1" customWidth="1"/>
    <col min="15" max="15" width="11.42578125" style="96"/>
    <col min="16" max="16" width="23.42578125" style="96" bestFit="1" customWidth="1"/>
    <col min="17" max="16384" width="11.42578125" style="96"/>
  </cols>
  <sheetData>
    <row r="1" spans="2:16" ht="15" customHeight="1" x14ac:dyDescent="0.2">
      <c r="C1" s="96" t="s">
        <v>308</v>
      </c>
      <c r="D1" s="96">
        <v>17</v>
      </c>
      <c r="K1" s="331" t="s">
        <v>299</v>
      </c>
      <c r="L1" s="331"/>
      <c r="M1" s="331"/>
      <c r="N1" s="331"/>
      <c r="O1" s="82"/>
    </row>
    <row r="2" spans="2:16" x14ac:dyDescent="0.2">
      <c r="K2" s="331"/>
      <c r="L2" s="331"/>
      <c r="M2" s="331"/>
      <c r="N2" s="331"/>
      <c r="O2" s="82"/>
    </row>
    <row r="3" spans="2:16" ht="33.75" x14ac:dyDescent="0.2">
      <c r="B3" s="83" t="s">
        <v>300</v>
      </c>
      <c r="C3" s="84" t="s">
        <v>301</v>
      </c>
      <c r="D3" s="84" t="s">
        <v>302</v>
      </c>
      <c r="E3" s="85" t="s">
        <v>274</v>
      </c>
      <c r="F3" s="85" t="s">
        <v>273</v>
      </c>
      <c r="G3" s="84" t="s">
        <v>303</v>
      </c>
      <c r="H3" s="84" t="s">
        <v>304</v>
      </c>
      <c r="I3" s="84" t="s">
        <v>305</v>
      </c>
      <c r="K3" s="86" t="s">
        <v>279</v>
      </c>
      <c r="L3" s="86" t="s">
        <v>306</v>
      </c>
      <c r="M3" s="84" t="s">
        <v>281</v>
      </c>
      <c r="N3" s="84" t="s">
        <v>279</v>
      </c>
    </row>
    <row r="4" spans="2:16" x14ac:dyDescent="0.2">
      <c r="B4" s="87">
        <v>43292</v>
      </c>
      <c r="C4" s="100">
        <v>4.4790000000000001</v>
      </c>
      <c r="D4" s="88"/>
      <c r="E4" s="88"/>
      <c r="F4" s="88"/>
      <c r="G4" s="88"/>
      <c r="H4" s="89"/>
      <c r="I4" s="89"/>
      <c r="K4" s="89">
        <v>1</v>
      </c>
      <c r="L4" s="101">
        <v>-8.8125766428741301E-2</v>
      </c>
      <c r="M4" s="90" t="s">
        <v>282</v>
      </c>
      <c r="N4" s="90">
        <f>PERCENTILE(K4:K244,0.1)</f>
        <v>25</v>
      </c>
      <c r="P4" s="164"/>
    </row>
    <row r="5" spans="2:16" x14ac:dyDescent="0.2">
      <c r="B5" s="87">
        <v>43293</v>
      </c>
      <c r="C5" s="100">
        <v>4.4670000000000005</v>
      </c>
      <c r="D5" s="101">
        <f>ROUND(LN(C5/C4),$D$1)</f>
        <v>-2.6827648551812598E-3</v>
      </c>
      <c r="E5" s="88"/>
      <c r="F5" s="88"/>
      <c r="G5" s="88"/>
      <c r="H5" s="89"/>
      <c r="I5" s="89"/>
      <c r="K5" s="89">
        <f>K4+1</f>
        <v>2</v>
      </c>
      <c r="L5" s="101">
        <v>-3.4430857463635098E-2</v>
      </c>
      <c r="M5" s="90" t="s">
        <v>285</v>
      </c>
      <c r="N5" s="90">
        <f>PERCENTILE(K4:K244,0.9)</f>
        <v>217</v>
      </c>
      <c r="P5" s="164"/>
    </row>
    <row r="6" spans="2:16" x14ac:dyDescent="0.2">
      <c r="B6" s="87">
        <v>43294</v>
      </c>
      <c r="C6" s="100">
        <v>4.4740000000000002</v>
      </c>
      <c r="D6" s="101">
        <f t="shared" ref="D6:D69" si="0">ROUND(LN(C6/C5),$D$1)</f>
        <v>1.5658206979561899E-3</v>
      </c>
      <c r="E6" s="88"/>
      <c r="F6" s="88"/>
      <c r="G6" s="88"/>
      <c r="H6" s="89"/>
      <c r="I6" s="89"/>
      <c r="K6" s="89">
        <f t="shared" ref="K6:K69" si="1">K5+1</f>
        <v>3</v>
      </c>
      <c r="L6" s="101">
        <v>-2.30302472746991E-2</v>
      </c>
      <c r="M6" s="90" t="s">
        <v>288</v>
      </c>
      <c r="N6" s="102">
        <f>ROUND(AVERAGE(L4:L28),$D$1)</f>
        <v>-1.7885660006849199E-2</v>
      </c>
      <c r="P6" s="164"/>
    </row>
    <row r="7" spans="2:16" x14ac:dyDescent="0.2">
      <c r="B7" s="87">
        <v>43297</v>
      </c>
      <c r="C7" s="100">
        <v>4.4729999999999999</v>
      </c>
      <c r="D7" s="101">
        <f t="shared" si="0"/>
        <v>-2.2353861722693001E-4</v>
      </c>
      <c r="E7" s="88"/>
      <c r="F7" s="88"/>
      <c r="G7" s="88"/>
      <c r="H7" s="89"/>
      <c r="I7" s="89"/>
      <c r="K7" s="89">
        <f t="shared" si="1"/>
        <v>4</v>
      </c>
      <c r="L7" s="101">
        <v>-2.2625852562927599E-2</v>
      </c>
      <c r="M7" s="90" t="s">
        <v>290</v>
      </c>
      <c r="N7" s="102">
        <f>ROUND(AVERAGE(L220:L244),$D$1)</f>
        <v>1.6933182876461599E-2</v>
      </c>
      <c r="P7" s="164"/>
    </row>
    <row r="8" spans="2:16" x14ac:dyDescent="0.2">
      <c r="B8" s="87">
        <v>43298</v>
      </c>
      <c r="C8" s="100">
        <v>4.5250000000000004</v>
      </c>
      <c r="D8" s="101">
        <f t="shared" si="0"/>
        <v>1.1558252701178599E-2</v>
      </c>
      <c r="E8" s="88"/>
      <c r="F8" s="88"/>
      <c r="G8" s="88"/>
      <c r="H8" s="89"/>
      <c r="I8" s="89"/>
      <c r="K8" s="89">
        <f t="shared" si="1"/>
        <v>5</v>
      </c>
      <c r="L8" s="101">
        <v>-2.0682625244217899E-2</v>
      </c>
      <c r="P8" s="164"/>
    </row>
    <row r="9" spans="2:16" x14ac:dyDescent="0.2">
      <c r="B9" s="87">
        <v>43299</v>
      </c>
      <c r="C9" s="100">
        <v>4.5119999999999996</v>
      </c>
      <c r="D9" s="101">
        <f t="shared" si="0"/>
        <v>-2.8770629561318301E-3</v>
      </c>
      <c r="E9" s="88"/>
      <c r="F9" s="88"/>
      <c r="G9" s="88"/>
      <c r="H9" s="89"/>
      <c r="I9" s="89"/>
      <c r="K9" s="89">
        <f t="shared" si="1"/>
        <v>6</v>
      </c>
      <c r="L9" s="101">
        <v>-1.9352012747181301E-2</v>
      </c>
      <c r="P9" s="164"/>
    </row>
    <row r="10" spans="2:16" x14ac:dyDescent="0.2">
      <c r="B10" s="87">
        <v>43300</v>
      </c>
      <c r="C10" s="100">
        <v>4.5110000000000001</v>
      </c>
      <c r="D10" s="101">
        <f t="shared" si="0"/>
        <v>-2.2165576949878001E-4</v>
      </c>
      <c r="E10" s="88"/>
      <c r="F10" s="88"/>
      <c r="G10" s="88"/>
      <c r="H10" s="89"/>
      <c r="I10" s="89"/>
      <c r="K10" s="89">
        <f t="shared" si="1"/>
        <v>7</v>
      </c>
      <c r="L10" s="101">
        <v>-1.5423353415897701E-2</v>
      </c>
      <c r="P10" s="164"/>
    </row>
    <row r="11" spans="2:16" x14ac:dyDescent="0.2">
      <c r="B11" s="87">
        <v>43301</v>
      </c>
      <c r="C11" s="100">
        <v>4.5280000000000005</v>
      </c>
      <c r="D11" s="101">
        <f t="shared" si="0"/>
        <v>3.76148247462307E-3</v>
      </c>
      <c r="E11" s="88"/>
      <c r="F11" s="88"/>
      <c r="G11" s="88"/>
      <c r="H11" s="89"/>
      <c r="I11" s="89"/>
      <c r="K11" s="89">
        <f t="shared" si="1"/>
        <v>8</v>
      </c>
      <c r="L11" s="101">
        <v>-1.47940685825596E-2</v>
      </c>
      <c r="P11" s="164"/>
    </row>
    <row r="12" spans="2:16" x14ac:dyDescent="0.2">
      <c r="B12" s="87">
        <v>43304</v>
      </c>
      <c r="C12" s="100">
        <v>4.4950000000000001</v>
      </c>
      <c r="D12" s="101">
        <f t="shared" si="0"/>
        <v>-7.3146729772982696E-3</v>
      </c>
      <c r="E12" s="88"/>
      <c r="F12" s="88"/>
      <c r="G12" s="88"/>
      <c r="H12" s="89"/>
      <c r="I12" s="89"/>
      <c r="K12" s="89">
        <f t="shared" si="1"/>
        <v>9</v>
      </c>
      <c r="L12" s="101">
        <v>-1.4187469463093899E-2</v>
      </c>
      <c r="P12" s="164"/>
    </row>
    <row r="13" spans="2:16" x14ac:dyDescent="0.2">
      <c r="B13" s="87">
        <v>43305</v>
      </c>
      <c r="C13" s="100">
        <v>4.5259999999999998</v>
      </c>
      <c r="D13" s="101">
        <f t="shared" si="0"/>
        <v>6.8728792877620496E-3</v>
      </c>
      <c r="E13" s="88"/>
      <c r="F13" s="88"/>
      <c r="G13" s="88"/>
      <c r="H13" s="89"/>
      <c r="I13" s="89"/>
      <c r="K13" s="89">
        <f t="shared" si="1"/>
        <v>10</v>
      </c>
      <c r="L13" s="101">
        <v>-1.3856034626924999E-2</v>
      </c>
      <c r="P13" s="164"/>
    </row>
    <row r="14" spans="2:16" x14ac:dyDescent="0.2">
      <c r="B14" s="87">
        <v>43306</v>
      </c>
      <c r="C14" s="100">
        <v>4.609</v>
      </c>
      <c r="D14" s="101">
        <f t="shared" si="0"/>
        <v>1.81723665270257E-2</v>
      </c>
      <c r="E14" s="88"/>
      <c r="F14" s="88"/>
      <c r="G14" s="88"/>
      <c r="H14" s="89"/>
      <c r="I14" s="89"/>
      <c r="K14" s="89">
        <f t="shared" si="1"/>
        <v>11</v>
      </c>
      <c r="L14" s="101">
        <v>-1.3758286658915301E-2</v>
      </c>
      <c r="P14" s="164"/>
    </row>
    <row r="15" spans="2:16" x14ac:dyDescent="0.2">
      <c r="B15" s="87">
        <v>43307</v>
      </c>
      <c r="C15" s="100">
        <v>4.6240000000000006</v>
      </c>
      <c r="D15" s="101">
        <f t="shared" si="0"/>
        <v>3.2492176317051999E-3</v>
      </c>
      <c r="E15" s="88"/>
      <c r="F15" s="88"/>
      <c r="G15" s="88"/>
      <c r="H15" s="89"/>
      <c r="I15" s="89"/>
      <c r="K15" s="89">
        <f t="shared" si="1"/>
        <v>12</v>
      </c>
      <c r="L15" s="101">
        <v>-1.37508580251161E-2</v>
      </c>
      <c r="P15" s="164"/>
    </row>
    <row r="16" spans="2:16" x14ac:dyDescent="0.2">
      <c r="B16" s="87">
        <v>43308</v>
      </c>
      <c r="C16" s="100">
        <v>4.6210000000000004</v>
      </c>
      <c r="D16" s="101">
        <f t="shared" si="0"/>
        <v>-6.4899948194704004E-4</v>
      </c>
      <c r="E16" s="88"/>
      <c r="F16" s="88"/>
      <c r="G16" s="88"/>
      <c r="H16" s="89"/>
      <c r="I16" s="89"/>
      <c r="K16" s="89">
        <f t="shared" si="1"/>
        <v>13</v>
      </c>
      <c r="L16" s="101">
        <v>-1.32506270616189E-2</v>
      </c>
      <c r="P16" s="164"/>
    </row>
    <row r="17" spans="2:16" x14ac:dyDescent="0.2">
      <c r="B17" s="87">
        <v>43311</v>
      </c>
      <c r="C17" s="100">
        <v>4.6229999999999993</v>
      </c>
      <c r="D17" s="101">
        <f t="shared" si="0"/>
        <v>4.3271311795886998E-4</v>
      </c>
      <c r="E17" s="88"/>
      <c r="F17" s="88"/>
      <c r="G17" s="88"/>
      <c r="H17" s="89"/>
      <c r="I17" s="89"/>
      <c r="K17" s="89">
        <f t="shared" si="1"/>
        <v>14</v>
      </c>
      <c r="L17" s="101">
        <v>-1.31438871179527E-2</v>
      </c>
      <c r="P17" s="164"/>
    </row>
    <row r="18" spans="2:16" x14ac:dyDescent="0.2">
      <c r="B18" s="87">
        <v>43312</v>
      </c>
      <c r="C18" s="100">
        <v>4.6630000000000003</v>
      </c>
      <c r="D18" s="101">
        <f t="shared" si="0"/>
        <v>8.6151728200956606E-3</v>
      </c>
      <c r="E18" s="88"/>
      <c r="F18" s="88"/>
      <c r="G18" s="88"/>
      <c r="H18" s="89"/>
      <c r="I18" s="89"/>
      <c r="K18" s="89">
        <f t="shared" si="1"/>
        <v>15</v>
      </c>
      <c r="L18" s="101">
        <v>-1.3119104789918E-2</v>
      </c>
      <c r="P18" s="164"/>
    </row>
    <row r="19" spans="2:16" x14ac:dyDescent="0.2">
      <c r="B19" s="87">
        <v>43313</v>
      </c>
      <c r="C19" s="100">
        <v>4.6390000000000002</v>
      </c>
      <c r="D19" s="101">
        <f t="shared" si="0"/>
        <v>-5.1601920565771701E-3</v>
      </c>
      <c r="E19" s="88"/>
      <c r="F19" s="88"/>
      <c r="G19" s="88"/>
      <c r="H19" s="89"/>
      <c r="I19" s="89"/>
      <c r="K19" s="89">
        <f t="shared" si="1"/>
        <v>16</v>
      </c>
      <c r="L19" s="101">
        <v>-1.27665912246945E-2</v>
      </c>
      <c r="P19" s="164"/>
    </row>
    <row r="20" spans="2:16" x14ac:dyDescent="0.2">
      <c r="B20" s="87">
        <v>43314</v>
      </c>
      <c r="C20" s="100">
        <v>4.6180000000000003</v>
      </c>
      <c r="D20" s="101">
        <f t="shared" si="0"/>
        <v>-4.5371148373029302E-3</v>
      </c>
      <c r="E20" s="88"/>
      <c r="F20" s="88"/>
      <c r="G20" s="88"/>
      <c r="H20" s="89"/>
      <c r="I20" s="89"/>
      <c r="K20" s="89">
        <f t="shared" si="1"/>
        <v>17</v>
      </c>
      <c r="L20" s="101">
        <v>-1.2727843534830899E-2</v>
      </c>
      <c r="P20" s="164"/>
    </row>
    <row r="21" spans="2:16" x14ac:dyDescent="0.2">
      <c r="B21" s="87">
        <v>43319</v>
      </c>
      <c r="C21" s="100">
        <v>4.6500000000000004</v>
      </c>
      <c r="D21" s="101">
        <f t="shared" si="0"/>
        <v>6.9055086669613996E-3</v>
      </c>
      <c r="E21" s="88"/>
      <c r="F21" s="88"/>
      <c r="G21" s="88"/>
      <c r="H21" s="89"/>
      <c r="I21" s="89"/>
      <c r="K21" s="89">
        <f t="shared" si="1"/>
        <v>18</v>
      </c>
      <c r="L21" s="101">
        <v>-1.24418401233657E-2</v>
      </c>
      <c r="P21" s="164"/>
    </row>
    <row r="22" spans="2:16" x14ac:dyDescent="0.2">
      <c r="B22" s="87">
        <v>43320</v>
      </c>
      <c r="C22" s="100">
        <v>4.6150000000000002</v>
      </c>
      <c r="D22" s="101">
        <f t="shared" si="0"/>
        <v>-7.5553516444494999E-3</v>
      </c>
      <c r="E22" s="88"/>
      <c r="F22" s="88"/>
      <c r="G22" s="88"/>
      <c r="H22" s="89"/>
      <c r="I22" s="89"/>
      <c r="K22" s="89">
        <f t="shared" si="1"/>
        <v>19</v>
      </c>
      <c r="L22" s="101">
        <v>-1.20885173622685E-2</v>
      </c>
      <c r="P22" s="164"/>
    </row>
    <row r="23" spans="2:16" x14ac:dyDescent="0.2">
      <c r="B23" s="87">
        <v>43321</v>
      </c>
      <c r="C23" s="100">
        <v>4.6349999999999998</v>
      </c>
      <c r="D23" s="101">
        <f t="shared" si="0"/>
        <v>4.3243310630027999E-3</v>
      </c>
      <c r="E23" s="88"/>
      <c r="F23" s="88"/>
      <c r="G23" s="88"/>
      <c r="H23" s="89"/>
      <c r="I23" s="89"/>
      <c r="K23" s="89">
        <f t="shared" si="1"/>
        <v>20</v>
      </c>
      <c r="L23" s="101">
        <v>-1.1314306946075501E-2</v>
      </c>
      <c r="P23" s="164"/>
    </row>
    <row r="24" spans="2:16" x14ac:dyDescent="0.2">
      <c r="B24" s="87">
        <v>43322</v>
      </c>
      <c r="C24" s="100">
        <v>4.6079999999999997</v>
      </c>
      <c r="D24" s="101">
        <f t="shared" si="0"/>
        <v>-5.8422756242283999E-3</v>
      </c>
      <c r="E24" s="88"/>
      <c r="F24" s="88"/>
      <c r="G24" s="88"/>
      <c r="H24" s="89"/>
      <c r="I24" s="89"/>
      <c r="K24" s="89">
        <f t="shared" si="1"/>
        <v>21</v>
      </c>
      <c r="L24" s="101">
        <v>-1.1009285508369099E-2</v>
      </c>
      <c r="P24" s="164"/>
    </row>
    <row r="25" spans="2:16" x14ac:dyDescent="0.2">
      <c r="B25" s="87">
        <v>43325</v>
      </c>
      <c r="C25" s="100">
        <v>4.5830000000000002</v>
      </c>
      <c r="D25" s="101">
        <f t="shared" si="0"/>
        <v>-5.4401178666029903E-3</v>
      </c>
      <c r="E25" s="88"/>
      <c r="F25" s="88"/>
      <c r="G25" s="88"/>
      <c r="H25" s="89"/>
      <c r="I25" s="89"/>
      <c r="K25" s="89">
        <f t="shared" si="1"/>
        <v>22</v>
      </c>
      <c r="L25" s="101">
        <v>-1.09737518661001E-2</v>
      </c>
      <c r="P25" s="164"/>
    </row>
    <row r="26" spans="2:16" x14ac:dyDescent="0.2">
      <c r="B26" s="87">
        <v>43326</v>
      </c>
      <c r="C26" s="100">
        <v>4.5890000000000004</v>
      </c>
      <c r="D26" s="101">
        <f t="shared" si="0"/>
        <v>1.30832988570944E-3</v>
      </c>
      <c r="E26" s="88"/>
      <c r="F26" s="88"/>
      <c r="G26" s="88"/>
      <c r="H26" s="89"/>
      <c r="I26" s="89"/>
      <c r="K26" s="89">
        <f t="shared" si="1"/>
        <v>23</v>
      </c>
      <c r="L26" s="101">
        <v>-1.0333391512482601E-2</v>
      </c>
      <c r="P26" s="164"/>
    </row>
    <row r="27" spans="2:16" x14ac:dyDescent="0.2">
      <c r="B27" s="87">
        <v>43327</v>
      </c>
      <c r="C27" s="100">
        <v>4.6079999999999997</v>
      </c>
      <c r="D27" s="101">
        <f t="shared" si="0"/>
        <v>4.1317879808935101E-3</v>
      </c>
      <c r="E27" s="88"/>
      <c r="F27" s="88"/>
      <c r="G27" s="88"/>
      <c r="H27" s="89"/>
      <c r="I27" s="89"/>
      <c r="K27" s="89">
        <f t="shared" si="1"/>
        <v>24</v>
      </c>
      <c r="L27" s="101">
        <v>-1.00297637431109E-2</v>
      </c>
      <c r="P27" s="164"/>
    </row>
    <row r="28" spans="2:16" x14ac:dyDescent="0.2">
      <c r="B28" s="87">
        <v>43328</v>
      </c>
      <c r="C28" s="100">
        <v>4.6219999999999999</v>
      </c>
      <c r="D28" s="101">
        <f t="shared" si="0"/>
        <v>3.0335884585988401E-3</v>
      </c>
      <c r="E28" s="88"/>
      <c r="F28" s="88"/>
      <c r="G28" s="88"/>
      <c r="H28" s="89"/>
      <c r="I28" s="89"/>
      <c r="K28" s="89">
        <f t="shared" si="1"/>
        <v>25</v>
      </c>
      <c r="L28" s="101">
        <v>-9.9251568865337102E-3</v>
      </c>
      <c r="M28" s="164"/>
      <c r="P28" s="164"/>
    </row>
    <row r="29" spans="2:16" x14ac:dyDescent="0.2">
      <c r="B29" s="87">
        <v>43329</v>
      </c>
      <c r="C29" s="100">
        <v>4.66</v>
      </c>
      <c r="D29" s="101">
        <f t="shared" si="0"/>
        <v>8.1879362853656597E-3</v>
      </c>
      <c r="E29" s="88"/>
      <c r="F29" s="88"/>
      <c r="G29" s="88"/>
      <c r="H29" s="89"/>
      <c r="I29" s="89"/>
      <c r="K29" s="89">
        <f t="shared" si="1"/>
        <v>26</v>
      </c>
      <c r="L29" s="101">
        <v>-9.7648356909684E-3</v>
      </c>
      <c r="P29" s="164"/>
    </row>
    <row r="30" spans="2:16" x14ac:dyDescent="0.2">
      <c r="B30" s="87">
        <v>43332</v>
      </c>
      <c r="C30" s="100">
        <v>4.673</v>
      </c>
      <c r="D30" s="101">
        <f t="shared" si="0"/>
        <v>2.7858155807345898E-3</v>
      </c>
      <c r="E30" s="88"/>
      <c r="F30" s="88"/>
      <c r="G30" s="88"/>
      <c r="H30" s="89"/>
      <c r="I30" s="89"/>
      <c r="K30" s="89">
        <f t="shared" si="1"/>
        <v>27</v>
      </c>
      <c r="L30" s="101">
        <v>-9.7440389493936002E-3</v>
      </c>
      <c r="P30" s="164"/>
    </row>
    <row r="31" spans="2:16" x14ac:dyDescent="0.2">
      <c r="B31" s="87">
        <v>43333</v>
      </c>
      <c r="C31" s="100">
        <v>4.6219999999999999</v>
      </c>
      <c r="D31" s="101">
        <f t="shared" si="0"/>
        <v>-1.09737518661001E-2</v>
      </c>
      <c r="E31" s="88"/>
      <c r="F31" s="88"/>
      <c r="G31" s="88"/>
      <c r="H31" s="89"/>
      <c r="I31" s="89"/>
      <c r="K31" s="89">
        <f t="shared" si="1"/>
        <v>28</v>
      </c>
      <c r="L31" s="101">
        <v>-9.4488891979323999E-3</v>
      </c>
      <c r="P31" s="164"/>
    </row>
    <row r="32" spans="2:16" x14ac:dyDescent="0.2">
      <c r="B32" s="87">
        <v>43334</v>
      </c>
      <c r="C32" s="100">
        <v>4.593</v>
      </c>
      <c r="D32" s="101">
        <f t="shared" si="0"/>
        <v>-6.2941065085325596E-3</v>
      </c>
      <c r="E32" s="88"/>
      <c r="F32" s="88"/>
      <c r="G32" s="88"/>
      <c r="H32" s="89"/>
      <c r="I32" s="89"/>
      <c r="K32" s="89">
        <f t="shared" si="1"/>
        <v>29</v>
      </c>
      <c r="L32" s="101">
        <v>-9.1040930805717096E-3</v>
      </c>
      <c r="P32" s="164"/>
    </row>
    <row r="33" spans="2:16" x14ac:dyDescent="0.2">
      <c r="B33" s="87">
        <v>43335</v>
      </c>
      <c r="C33" s="100">
        <v>4.57</v>
      </c>
      <c r="D33" s="101">
        <f t="shared" si="0"/>
        <v>-5.0202004375430303E-3</v>
      </c>
      <c r="E33" s="88"/>
      <c r="F33" s="88"/>
      <c r="G33" s="88"/>
      <c r="H33" s="89"/>
      <c r="I33" s="89"/>
      <c r="K33" s="89">
        <f t="shared" si="1"/>
        <v>30</v>
      </c>
      <c r="L33" s="101">
        <v>-8.9096898257611593E-3</v>
      </c>
      <c r="P33" s="164"/>
    </row>
    <row r="34" spans="2:16" x14ac:dyDescent="0.2">
      <c r="B34" s="87">
        <v>43336</v>
      </c>
      <c r="C34" s="100">
        <v>4.5630000000000006</v>
      </c>
      <c r="D34" s="101">
        <f t="shared" si="0"/>
        <v>-1.5329029608477499E-3</v>
      </c>
      <c r="E34" s="88"/>
      <c r="F34" s="88"/>
      <c r="G34" s="88"/>
      <c r="H34" s="89"/>
      <c r="I34" s="89"/>
      <c r="K34" s="89">
        <f t="shared" si="1"/>
        <v>31</v>
      </c>
      <c r="L34" s="101">
        <v>-8.9063258430894104E-3</v>
      </c>
      <c r="P34" s="164"/>
    </row>
    <row r="35" spans="2:16" x14ac:dyDescent="0.2">
      <c r="B35" s="87">
        <v>43339</v>
      </c>
      <c r="C35" s="100">
        <v>4.569</v>
      </c>
      <c r="D35" s="101">
        <f t="shared" si="0"/>
        <v>1.31406063586881E-3</v>
      </c>
      <c r="E35" s="88"/>
      <c r="F35" s="88"/>
      <c r="G35" s="88"/>
      <c r="H35" s="89"/>
      <c r="I35" s="89"/>
      <c r="K35" s="89">
        <f t="shared" si="1"/>
        <v>32</v>
      </c>
      <c r="L35" s="101">
        <v>-8.7912654111708798E-3</v>
      </c>
      <c r="P35" s="164"/>
    </row>
    <row r="36" spans="2:16" x14ac:dyDescent="0.2">
      <c r="B36" s="87">
        <v>43340</v>
      </c>
      <c r="C36" s="100">
        <v>4.5369999999999999</v>
      </c>
      <c r="D36" s="101">
        <f t="shared" si="0"/>
        <v>-7.0283618993076001E-3</v>
      </c>
      <c r="E36" s="88"/>
      <c r="F36" s="88"/>
      <c r="G36" s="88"/>
      <c r="H36" s="89"/>
      <c r="I36" s="89"/>
      <c r="K36" s="89">
        <f t="shared" si="1"/>
        <v>33</v>
      </c>
      <c r="L36" s="101">
        <v>-8.7300492096899305E-3</v>
      </c>
      <c r="P36" s="164"/>
    </row>
    <row r="37" spans="2:16" x14ac:dyDescent="0.2">
      <c r="B37" s="87">
        <v>43341</v>
      </c>
      <c r="C37" s="100">
        <v>4.5329999999999995</v>
      </c>
      <c r="D37" s="101">
        <f t="shared" si="0"/>
        <v>-8.8202872311476997E-4</v>
      </c>
      <c r="E37" s="88"/>
      <c r="F37" s="88"/>
      <c r="G37" s="88"/>
      <c r="H37" s="89"/>
      <c r="I37" s="89"/>
      <c r="K37" s="89">
        <f t="shared" si="1"/>
        <v>34</v>
      </c>
      <c r="L37" s="101">
        <v>-8.5014136000709992E-3</v>
      </c>
      <c r="P37" s="164"/>
    </row>
    <row r="38" spans="2:16" x14ac:dyDescent="0.2">
      <c r="B38" s="87">
        <v>43342</v>
      </c>
      <c r="C38" s="100">
        <v>4.4950000000000001</v>
      </c>
      <c r="D38" s="101">
        <f t="shared" si="0"/>
        <v>-8.4183040351285092E-3</v>
      </c>
      <c r="E38" s="88"/>
      <c r="F38" s="88"/>
      <c r="G38" s="88"/>
      <c r="H38" s="89"/>
      <c r="I38" s="89"/>
      <c r="K38" s="89">
        <f t="shared" si="1"/>
        <v>35</v>
      </c>
      <c r="L38" s="101">
        <v>-8.4897739591648907E-3</v>
      </c>
      <c r="P38" s="164"/>
    </row>
    <row r="39" spans="2:16" x14ac:dyDescent="0.2">
      <c r="B39" s="87">
        <v>43343</v>
      </c>
      <c r="C39" s="100">
        <v>4.4569999999999999</v>
      </c>
      <c r="D39" s="101">
        <f t="shared" si="0"/>
        <v>-8.4897739591648907E-3</v>
      </c>
      <c r="E39" s="88"/>
      <c r="F39" s="88"/>
      <c r="G39" s="88"/>
      <c r="H39" s="89"/>
      <c r="I39" s="89"/>
      <c r="K39" s="89">
        <f t="shared" si="1"/>
        <v>36</v>
      </c>
      <c r="L39" s="101">
        <v>-8.4553349270376395E-3</v>
      </c>
      <c r="P39" s="164"/>
    </row>
    <row r="40" spans="2:16" x14ac:dyDescent="0.2">
      <c r="B40" s="87">
        <v>43347</v>
      </c>
      <c r="C40" s="100">
        <v>4.476</v>
      </c>
      <c r="D40" s="101">
        <f t="shared" si="0"/>
        <v>4.2538964852600501E-3</v>
      </c>
      <c r="E40" s="88"/>
      <c r="F40" s="88"/>
      <c r="G40" s="88"/>
      <c r="H40" s="89"/>
      <c r="I40" s="89"/>
      <c r="K40" s="89">
        <f t="shared" si="1"/>
        <v>37</v>
      </c>
      <c r="L40" s="101">
        <v>-8.4183040351285092E-3</v>
      </c>
      <c r="P40" s="164"/>
    </row>
    <row r="41" spans="2:16" x14ac:dyDescent="0.2">
      <c r="B41" s="87">
        <v>43348</v>
      </c>
      <c r="C41" s="100">
        <v>4.5380000000000003</v>
      </c>
      <c r="D41" s="101">
        <f t="shared" si="0"/>
        <v>1.37565959079712E-2</v>
      </c>
      <c r="E41" s="88"/>
      <c r="F41" s="88"/>
      <c r="G41" s="88"/>
      <c r="H41" s="89"/>
      <c r="I41" s="89"/>
      <c r="K41" s="89">
        <f t="shared" si="1"/>
        <v>38</v>
      </c>
      <c r="L41" s="101">
        <v>-8.4097530679365096E-3</v>
      </c>
      <c r="P41" s="164"/>
    </row>
    <row r="42" spans="2:16" x14ac:dyDescent="0.2">
      <c r="B42" s="87">
        <v>43349</v>
      </c>
      <c r="C42" s="100">
        <v>4.577</v>
      </c>
      <c r="D42" s="101">
        <f t="shared" si="0"/>
        <v>8.5573753138550399E-3</v>
      </c>
      <c r="E42" s="88"/>
      <c r="F42" s="88"/>
      <c r="G42" s="88"/>
      <c r="H42" s="89"/>
      <c r="I42" s="89"/>
      <c r="K42" s="89">
        <f t="shared" si="1"/>
        <v>39</v>
      </c>
      <c r="L42" s="101">
        <v>-7.8006896104205001E-3</v>
      </c>
      <c r="P42" s="164"/>
    </row>
    <row r="43" spans="2:16" x14ac:dyDescent="0.2">
      <c r="B43" s="87">
        <v>43350</v>
      </c>
      <c r="C43" s="100">
        <v>4.5720000000000001</v>
      </c>
      <c r="D43" s="101">
        <f t="shared" si="0"/>
        <v>-1.0930157389407399E-3</v>
      </c>
      <c r="E43" s="88"/>
      <c r="F43" s="88"/>
      <c r="G43" s="88"/>
      <c r="H43" s="89"/>
      <c r="I43" s="89"/>
      <c r="K43" s="89">
        <f t="shared" si="1"/>
        <v>40</v>
      </c>
      <c r="L43" s="101">
        <v>-7.7067429774303302E-3</v>
      </c>
      <c r="P43" s="164"/>
    </row>
    <row r="44" spans="2:16" x14ac:dyDescent="0.2">
      <c r="B44" s="87">
        <v>43353</v>
      </c>
      <c r="C44" s="100">
        <v>4.6059999999999999</v>
      </c>
      <c r="D44" s="101">
        <f t="shared" si="0"/>
        <v>7.4090554659291003E-3</v>
      </c>
      <c r="E44" s="88"/>
      <c r="F44" s="88"/>
      <c r="G44" s="88"/>
      <c r="H44" s="89"/>
      <c r="I44" s="89"/>
      <c r="K44" s="89">
        <f t="shared" si="1"/>
        <v>41</v>
      </c>
      <c r="L44" s="101">
        <v>-7.6939031087820998E-3</v>
      </c>
      <c r="P44" s="164"/>
    </row>
    <row r="45" spans="2:16" x14ac:dyDescent="0.2">
      <c r="B45" s="87">
        <v>43354</v>
      </c>
      <c r="C45" s="100">
        <v>4.6020000000000003</v>
      </c>
      <c r="D45" s="101">
        <f t="shared" si="0"/>
        <v>-8.6880978531922004E-4</v>
      </c>
      <c r="E45" s="88"/>
      <c r="F45" s="88"/>
      <c r="G45" s="88"/>
      <c r="H45" s="89"/>
      <c r="I45" s="89"/>
      <c r="K45" s="89">
        <f t="shared" si="1"/>
        <v>42</v>
      </c>
      <c r="L45" s="101">
        <v>-7.5553516444494999E-3</v>
      </c>
      <c r="P45" s="164"/>
    </row>
    <row r="46" spans="2:16" x14ac:dyDescent="0.2">
      <c r="B46" s="87">
        <v>43355</v>
      </c>
      <c r="C46" s="100">
        <v>4.6240000000000006</v>
      </c>
      <c r="D46" s="101">
        <f t="shared" si="0"/>
        <v>4.7691397569023597E-3</v>
      </c>
      <c r="E46" s="88"/>
      <c r="F46" s="88"/>
      <c r="G46" s="88"/>
      <c r="H46" s="89"/>
      <c r="I46" s="89"/>
      <c r="K46" s="89">
        <f t="shared" si="1"/>
        <v>43</v>
      </c>
      <c r="L46" s="101">
        <v>-7.54404248482174E-3</v>
      </c>
      <c r="P46" s="164"/>
    </row>
    <row r="47" spans="2:16" x14ac:dyDescent="0.2">
      <c r="B47" s="87">
        <v>43356</v>
      </c>
      <c r="C47" s="100">
        <v>4.5830000000000002</v>
      </c>
      <c r="D47" s="101">
        <f t="shared" si="0"/>
        <v>-8.9063258430894104E-3</v>
      </c>
      <c r="E47" s="88"/>
      <c r="F47" s="88"/>
      <c r="G47" s="88"/>
      <c r="H47" s="89"/>
      <c r="I47" s="89"/>
      <c r="K47" s="89">
        <f t="shared" si="1"/>
        <v>44</v>
      </c>
      <c r="L47" s="101">
        <v>-7.5371671377445501E-3</v>
      </c>
      <c r="P47" s="164"/>
    </row>
    <row r="48" spans="2:16" x14ac:dyDescent="0.2">
      <c r="B48" s="87">
        <v>43357</v>
      </c>
      <c r="C48" s="100">
        <v>4.5990000000000002</v>
      </c>
      <c r="D48" s="101">
        <f t="shared" si="0"/>
        <v>3.4850830307997399E-3</v>
      </c>
      <c r="E48" s="88"/>
      <c r="F48" s="88"/>
      <c r="G48" s="88"/>
      <c r="H48" s="89"/>
      <c r="I48" s="89"/>
      <c r="K48" s="89">
        <f t="shared" si="1"/>
        <v>45</v>
      </c>
      <c r="L48" s="101">
        <v>-7.3146729772982696E-3</v>
      </c>
      <c r="P48" s="164"/>
    </row>
    <row r="49" spans="2:16" x14ac:dyDescent="0.2">
      <c r="B49" s="87">
        <v>43360</v>
      </c>
      <c r="C49" s="100">
        <v>4.6319999999999997</v>
      </c>
      <c r="D49" s="101">
        <f t="shared" si="0"/>
        <v>7.1498517129072996E-3</v>
      </c>
      <c r="E49" s="88"/>
      <c r="F49" s="88"/>
      <c r="G49" s="88"/>
      <c r="H49" s="89"/>
      <c r="I49" s="89"/>
      <c r="K49" s="89">
        <f t="shared" si="1"/>
        <v>46</v>
      </c>
      <c r="L49" s="101">
        <v>-7.1392450094707599E-3</v>
      </c>
      <c r="P49" s="164"/>
    </row>
    <row r="50" spans="2:16" x14ac:dyDescent="0.2">
      <c r="B50" s="87">
        <v>43361</v>
      </c>
      <c r="C50" s="100">
        <v>4.593</v>
      </c>
      <c r="D50" s="101">
        <f t="shared" si="0"/>
        <v>-8.4553349270376395E-3</v>
      </c>
      <c r="E50" s="88"/>
      <c r="F50" s="88"/>
      <c r="G50" s="88"/>
      <c r="H50" s="89"/>
      <c r="I50" s="89"/>
      <c r="K50" s="89">
        <f t="shared" si="1"/>
        <v>47</v>
      </c>
      <c r="L50" s="101">
        <v>-7.0283618993076001E-3</v>
      </c>
      <c r="P50" s="164"/>
    </row>
    <row r="51" spans="2:16" x14ac:dyDescent="0.2">
      <c r="B51" s="87">
        <v>43362</v>
      </c>
      <c r="C51" s="100">
        <v>4.5960000000000001</v>
      </c>
      <c r="D51" s="101">
        <f t="shared" si="0"/>
        <v>6.5295464285281999E-4</v>
      </c>
      <c r="E51" s="88"/>
      <c r="F51" s="88"/>
      <c r="G51" s="88"/>
      <c r="H51" s="89"/>
      <c r="I51" s="89"/>
      <c r="K51" s="89">
        <f t="shared" si="1"/>
        <v>48</v>
      </c>
      <c r="L51" s="101">
        <v>-6.9671980344083104E-3</v>
      </c>
      <c r="P51" s="164"/>
    </row>
    <row r="52" spans="2:16" x14ac:dyDescent="0.2">
      <c r="B52" s="87">
        <v>43363</v>
      </c>
      <c r="C52" s="100">
        <v>4.6639999999999997</v>
      </c>
      <c r="D52" s="101">
        <f t="shared" si="0"/>
        <v>1.46870890616819E-2</v>
      </c>
      <c r="E52" s="88"/>
      <c r="F52" s="88"/>
      <c r="G52" s="88"/>
      <c r="H52" s="89"/>
      <c r="I52" s="89"/>
      <c r="K52" s="89">
        <f t="shared" si="1"/>
        <v>49</v>
      </c>
      <c r="L52" s="101">
        <v>-6.7326153744725796E-3</v>
      </c>
      <c r="P52" s="164"/>
    </row>
    <row r="53" spans="2:16" x14ac:dyDescent="0.2">
      <c r="B53" s="87">
        <v>43364</v>
      </c>
      <c r="C53" s="100">
        <v>4.6579999999999995</v>
      </c>
      <c r="D53" s="101">
        <f t="shared" si="0"/>
        <v>-1.287277586042E-3</v>
      </c>
      <c r="E53" s="88"/>
      <c r="F53" s="88"/>
      <c r="G53" s="88"/>
      <c r="H53" s="89"/>
      <c r="I53" s="89"/>
      <c r="K53" s="89">
        <f t="shared" si="1"/>
        <v>50</v>
      </c>
      <c r="L53" s="101">
        <v>-6.4803790983036904E-3</v>
      </c>
      <c r="P53" s="164"/>
    </row>
    <row r="54" spans="2:16" x14ac:dyDescent="0.2">
      <c r="B54" s="87">
        <v>43367</v>
      </c>
      <c r="C54" s="100">
        <v>4.6070000000000002</v>
      </c>
      <c r="D54" s="101">
        <f t="shared" si="0"/>
        <v>-1.1009285508369099E-2</v>
      </c>
      <c r="E54" s="88"/>
      <c r="F54" s="88"/>
      <c r="G54" s="88"/>
      <c r="H54" s="89"/>
      <c r="I54" s="89"/>
      <c r="K54" s="89">
        <f t="shared" si="1"/>
        <v>51</v>
      </c>
      <c r="L54" s="101">
        <v>-6.2941065085325596E-3</v>
      </c>
      <c r="P54" s="164"/>
    </row>
    <row r="55" spans="2:16" x14ac:dyDescent="0.2">
      <c r="B55" s="87">
        <v>43368</v>
      </c>
      <c r="C55" s="100">
        <v>4.5679999999999996</v>
      </c>
      <c r="D55" s="101">
        <f t="shared" si="0"/>
        <v>-8.5014136000709992E-3</v>
      </c>
      <c r="E55" s="88"/>
      <c r="F55" s="88"/>
      <c r="G55" s="88"/>
      <c r="H55" s="89"/>
      <c r="I55" s="89"/>
      <c r="K55" s="89">
        <f t="shared" si="1"/>
        <v>52</v>
      </c>
      <c r="L55" s="101">
        <v>-6.1985877640893796E-3</v>
      </c>
      <c r="P55" s="164"/>
    </row>
    <row r="56" spans="2:16" x14ac:dyDescent="0.2">
      <c r="B56" s="87">
        <v>43369</v>
      </c>
      <c r="C56" s="100">
        <v>4.585</v>
      </c>
      <c r="D56" s="101">
        <f t="shared" si="0"/>
        <v>3.7146333547190499E-3</v>
      </c>
      <c r="E56" s="88"/>
      <c r="F56" s="88"/>
      <c r="G56" s="88"/>
      <c r="H56" s="89"/>
      <c r="I56" s="89"/>
      <c r="K56" s="89">
        <f t="shared" si="1"/>
        <v>53</v>
      </c>
      <c r="L56" s="101">
        <v>-5.8901358470722903E-3</v>
      </c>
      <c r="P56" s="164"/>
    </row>
    <row r="57" spans="2:16" x14ac:dyDescent="0.2">
      <c r="B57" s="87">
        <v>43370</v>
      </c>
      <c r="C57" s="100">
        <v>4.601</v>
      </c>
      <c r="D57" s="101">
        <f t="shared" si="0"/>
        <v>3.4835654649033698E-3</v>
      </c>
      <c r="E57" s="88"/>
      <c r="F57" s="88"/>
      <c r="G57" s="88"/>
      <c r="H57" s="89"/>
      <c r="I57" s="89"/>
      <c r="K57" s="89">
        <f t="shared" si="1"/>
        <v>54</v>
      </c>
      <c r="L57" s="101">
        <v>-5.8422756242283999E-3</v>
      </c>
      <c r="P57" s="164"/>
    </row>
    <row r="58" spans="2:16" x14ac:dyDescent="0.2">
      <c r="B58" s="87">
        <v>43371</v>
      </c>
      <c r="C58" s="100">
        <v>4.6189999999999998</v>
      </c>
      <c r="D58" s="101">
        <f t="shared" si="0"/>
        <v>3.9045602751367299E-3</v>
      </c>
      <c r="E58" s="88"/>
      <c r="F58" s="88"/>
      <c r="G58" s="88"/>
      <c r="H58" s="89"/>
      <c r="I58" s="89"/>
      <c r="K58" s="89">
        <f t="shared" si="1"/>
        <v>55</v>
      </c>
      <c r="L58" s="101">
        <v>-5.5785038118230804E-3</v>
      </c>
      <c r="P58" s="164"/>
    </row>
    <row r="59" spans="2:16" x14ac:dyDescent="0.2">
      <c r="B59" s="87">
        <v>43374</v>
      </c>
      <c r="C59" s="100">
        <v>4.6229999999999993</v>
      </c>
      <c r="D59" s="101">
        <f t="shared" si="0"/>
        <v>8.6561355761997005E-4</v>
      </c>
      <c r="E59" s="88"/>
      <c r="F59" s="88"/>
      <c r="G59" s="88"/>
      <c r="H59" s="89"/>
      <c r="I59" s="89"/>
      <c r="K59" s="89">
        <f t="shared" si="1"/>
        <v>56</v>
      </c>
      <c r="L59" s="101">
        <v>-5.4662867061493698E-3</v>
      </c>
      <c r="P59" s="164"/>
    </row>
    <row r="60" spans="2:16" x14ac:dyDescent="0.2">
      <c r="B60" s="87">
        <v>43375</v>
      </c>
      <c r="C60" s="100">
        <v>4.6509999999999998</v>
      </c>
      <c r="D60" s="101">
        <f t="shared" si="0"/>
        <v>6.0384052358717199E-3</v>
      </c>
      <c r="E60" s="88"/>
      <c r="F60" s="88"/>
      <c r="G60" s="88"/>
      <c r="H60" s="89"/>
      <c r="I60" s="89"/>
      <c r="K60" s="89">
        <f t="shared" si="1"/>
        <v>57</v>
      </c>
      <c r="L60" s="101">
        <v>-5.4401178666029903E-3</v>
      </c>
      <c r="P60" s="164"/>
    </row>
    <row r="61" spans="2:16" x14ac:dyDescent="0.2">
      <c r="B61" s="87">
        <v>43376</v>
      </c>
      <c r="C61" s="100">
        <v>4.5869999999999997</v>
      </c>
      <c r="D61" s="101">
        <f t="shared" si="0"/>
        <v>-1.3856034626924999E-2</v>
      </c>
      <c r="E61" s="88"/>
      <c r="F61" s="88"/>
      <c r="G61" s="88"/>
      <c r="H61" s="89"/>
      <c r="I61" s="89"/>
      <c r="K61" s="89">
        <f t="shared" si="1"/>
        <v>58</v>
      </c>
      <c r="L61" s="101">
        <v>-5.1601920565771701E-3</v>
      </c>
      <c r="P61" s="164"/>
    </row>
    <row r="62" spans="2:16" x14ac:dyDescent="0.2">
      <c r="B62" s="87">
        <v>43377</v>
      </c>
      <c r="C62" s="100">
        <v>4.585</v>
      </c>
      <c r="D62" s="101">
        <f t="shared" si="0"/>
        <v>-4.3610990660669001E-4</v>
      </c>
      <c r="E62" s="88"/>
      <c r="F62" s="88"/>
      <c r="G62" s="88"/>
      <c r="H62" s="89"/>
      <c r="I62" s="89"/>
      <c r="K62" s="89">
        <f t="shared" si="1"/>
        <v>59</v>
      </c>
      <c r="L62" s="101">
        <v>-5.144573544357E-3</v>
      </c>
      <c r="P62" s="164"/>
    </row>
    <row r="63" spans="2:16" x14ac:dyDescent="0.2">
      <c r="B63" s="87">
        <v>43378</v>
      </c>
      <c r="C63" s="100">
        <v>4.5880000000000001</v>
      </c>
      <c r="D63" s="101">
        <f t="shared" si="0"/>
        <v>6.5409355869620997E-4</v>
      </c>
      <c r="E63" s="88"/>
      <c r="F63" s="88"/>
      <c r="G63" s="88"/>
      <c r="H63" s="89"/>
      <c r="I63" s="89"/>
      <c r="K63" s="89">
        <f t="shared" si="1"/>
        <v>60</v>
      </c>
      <c r="L63" s="101">
        <v>-5.1308475823435701E-3</v>
      </c>
      <c r="P63" s="164"/>
    </row>
    <row r="64" spans="2:16" x14ac:dyDescent="0.2">
      <c r="B64" s="87">
        <v>43381</v>
      </c>
      <c r="C64" s="100">
        <v>4.6479999999999997</v>
      </c>
      <c r="D64" s="101">
        <f t="shared" si="0"/>
        <v>1.2992820282485801E-2</v>
      </c>
      <c r="E64" s="88"/>
      <c r="F64" s="88"/>
      <c r="G64" s="88"/>
      <c r="H64" s="89"/>
      <c r="I64" s="89"/>
      <c r="K64" s="89">
        <f t="shared" si="1"/>
        <v>61</v>
      </c>
      <c r="L64" s="101">
        <v>-5.0202004375430303E-3</v>
      </c>
      <c r="P64" s="164"/>
    </row>
    <row r="65" spans="2:16" x14ac:dyDescent="0.2">
      <c r="B65" s="87">
        <v>43382</v>
      </c>
      <c r="C65" s="100">
        <v>4.6390000000000002</v>
      </c>
      <c r="D65" s="101">
        <f t="shared" si="0"/>
        <v>-1.9381937800034099E-3</v>
      </c>
      <c r="E65" s="88"/>
      <c r="F65" s="88"/>
      <c r="G65" s="88"/>
      <c r="H65" s="89"/>
      <c r="I65" s="89"/>
      <c r="K65" s="89">
        <f t="shared" si="1"/>
        <v>62</v>
      </c>
      <c r="L65" s="101">
        <v>-4.8260700948897697E-3</v>
      </c>
      <c r="P65" s="164"/>
    </row>
    <row r="66" spans="2:16" x14ac:dyDescent="0.2">
      <c r="B66" s="87">
        <v>43383</v>
      </c>
      <c r="C66" s="100">
        <v>4.5679999999999996</v>
      </c>
      <c r="D66" s="101">
        <f t="shared" si="0"/>
        <v>-1.5423353415897701E-2</v>
      </c>
      <c r="E66" s="88"/>
      <c r="F66" s="88"/>
      <c r="G66" s="88"/>
      <c r="H66" s="89"/>
      <c r="I66" s="89"/>
      <c r="K66" s="89">
        <f t="shared" si="1"/>
        <v>63</v>
      </c>
      <c r="L66" s="101">
        <v>-4.7822110059823203E-3</v>
      </c>
      <c r="P66" s="164"/>
    </row>
    <row r="67" spans="2:16" x14ac:dyDescent="0.2">
      <c r="B67" s="87">
        <v>43384</v>
      </c>
      <c r="C67" s="100">
        <v>4.4640000000000004</v>
      </c>
      <c r="D67" s="101">
        <f t="shared" si="0"/>
        <v>-2.30302472746991E-2</v>
      </c>
      <c r="E67" s="88"/>
      <c r="F67" s="88"/>
      <c r="G67" s="88"/>
      <c r="H67" s="89"/>
      <c r="I67" s="89"/>
      <c r="K67" s="89">
        <f t="shared" si="1"/>
        <v>64</v>
      </c>
      <c r="L67" s="101">
        <v>-4.7190134763292002E-3</v>
      </c>
      <c r="P67" s="164"/>
    </row>
    <row r="68" spans="2:16" x14ac:dyDescent="0.2">
      <c r="B68" s="87">
        <v>43385</v>
      </c>
      <c r="C68" s="100">
        <v>4.468</v>
      </c>
      <c r="D68" s="101">
        <f t="shared" si="0"/>
        <v>8.9565612794438999E-4</v>
      </c>
      <c r="E68" s="88"/>
      <c r="F68" s="88"/>
      <c r="G68" s="88"/>
      <c r="H68" s="89"/>
      <c r="I68" s="89"/>
      <c r="K68" s="89">
        <f t="shared" si="1"/>
        <v>65</v>
      </c>
      <c r="L68" s="101">
        <v>-4.5371148373029302E-3</v>
      </c>
      <c r="P68" s="164"/>
    </row>
    <row r="69" spans="2:16" x14ac:dyDescent="0.2">
      <c r="B69" s="87">
        <v>43388</v>
      </c>
      <c r="C69" s="100">
        <v>4.4909999999999997</v>
      </c>
      <c r="D69" s="101">
        <f t="shared" si="0"/>
        <v>5.1345128986466301E-3</v>
      </c>
      <c r="E69" s="88"/>
      <c r="F69" s="88"/>
      <c r="G69" s="88"/>
      <c r="H69" s="89"/>
      <c r="I69" s="89"/>
      <c r="K69" s="89">
        <f t="shared" si="1"/>
        <v>66</v>
      </c>
      <c r="L69" s="101">
        <v>-4.2310196394900702E-3</v>
      </c>
      <c r="P69" s="164"/>
    </row>
    <row r="70" spans="2:16" x14ac:dyDescent="0.2">
      <c r="B70" s="87">
        <v>43389</v>
      </c>
      <c r="C70" s="100">
        <v>4.5490000000000004</v>
      </c>
      <c r="D70" s="101">
        <f t="shared" ref="D70:D133" si="2">ROUND(LN(C70/C69),$D$1)</f>
        <v>1.2832034482266099E-2</v>
      </c>
      <c r="E70" s="88"/>
      <c r="F70" s="88"/>
      <c r="G70" s="88"/>
      <c r="H70" s="89"/>
      <c r="I70" s="89"/>
      <c r="K70" s="89">
        <f t="shared" ref="K70:K133" si="3">K69+1</f>
        <v>67</v>
      </c>
      <c r="L70" s="101">
        <v>-4.0420426900109304E-3</v>
      </c>
      <c r="P70" s="164"/>
    </row>
    <row r="71" spans="2:16" x14ac:dyDescent="0.2">
      <c r="B71" s="87">
        <v>43390</v>
      </c>
      <c r="C71" s="100">
        <v>4.5860000000000003</v>
      </c>
      <c r="D71" s="101">
        <f t="shared" si="2"/>
        <v>8.1007558478456108E-3</v>
      </c>
      <c r="E71" s="88"/>
      <c r="F71" s="88"/>
      <c r="G71" s="88"/>
      <c r="H71" s="89"/>
      <c r="I71" s="89"/>
      <c r="K71" s="89">
        <f t="shared" si="3"/>
        <v>68</v>
      </c>
      <c r="L71" s="101">
        <v>-4.0215950063713802E-3</v>
      </c>
      <c r="P71" s="164"/>
    </row>
    <row r="72" spans="2:16" x14ac:dyDescent="0.2">
      <c r="B72" s="87">
        <v>43391</v>
      </c>
      <c r="C72" s="100">
        <v>4.5609999999999999</v>
      </c>
      <c r="D72" s="101">
        <f t="shared" si="2"/>
        <v>-5.4662867061493698E-3</v>
      </c>
      <c r="E72" s="88"/>
      <c r="F72" s="88"/>
      <c r="G72" s="88"/>
      <c r="H72" s="89"/>
      <c r="I72" s="89"/>
      <c r="K72" s="89">
        <f t="shared" si="3"/>
        <v>69</v>
      </c>
      <c r="L72" s="101">
        <v>-3.7473867285601802E-3</v>
      </c>
      <c r="P72" s="164"/>
    </row>
    <row r="73" spans="2:16" x14ac:dyDescent="0.2">
      <c r="B73" s="87">
        <v>43392</v>
      </c>
      <c r="C73" s="100">
        <v>4.633</v>
      </c>
      <c r="D73" s="101">
        <f t="shared" si="2"/>
        <v>1.5662708704947799E-2</v>
      </c>
      <c r="E73" s="88"/>
      <c r="F73" s="88"/>
      <c r="G73" s="88"/>
      <c r="H73" s="89"/>
      <c r="I73" s="89"/>
      <c r="K73" s="89">
        <f t="shared" si="3"/>
        <v>70</v>
      </c>
      <c r="L73" s="101">
        <v>-3.2948958968526498E-3</v>
      </c>
      <c r="P73" s="164"/>
    </row>
    <row r="74" spans="2:16" x14ac:dyDescent="0.2">
      <c r="B74" s="87">
        <v>43395</v>
      </c>
      <c r="C74" s="100">
        <v>4.5969999999999995</v>
      </c>
      <c r="D74" s="101">
        <f t="shared" si="2"/>
        <v>-7.8006896104205001E-3</v>
      </c>
      <c r="E74" s="88"/>
      <c r="F74" s="88"/>
      <c r="G74" s="88"/>
      <c r="H74" s="89"/>
      <c r="I74" s="89"/>
      <c r="K74" s="89">
        <f t="shared" si="3"/>
        <v>71</v>
      </c>
      <c r="L74" s="101">
        <v>-3.2157815256856799E-3</v>
      </c>
      <c r="P74" s="164"/>
    </row>
    <row r="75" spans="2:16" x14ac:dyDescent="0.2">
      <c r="B75" s="87">
        <v>43396</v>
      </c>
      <c r="C75" s="100">
        <v>4.6360000000000001</v>
      </c>
      <c r="D75" s="101">
        <f t="shared" si="2"/>
        <v>8.4480086534144596E-3</v>
      </c>
      <c r="E75" s="88"/>
      <c r="F75" s="88"/>
      <c r="G75" s="88"/>
      <c r="H75" s="89"/>
      <c r="I75" s="89"/>
      <c r="K75" s="89">
        <f t="shared" si="3"/>
        <v>72</v>
      </c>
      <c r="L75" s="101">
        <v>-3.1372574751325501E-3</v>
      </c>
      <c r="P75" s="164"/>
    </row>
    <row r="76" spans="2:16" x14ac:dyDescent="0.2">
      <c r="B76" s="87">
        <v>43397</v>
      </c>
      <c r="C76" s="100">
        <v>4.673</v>
      </c>
      <c r="D76" s="101">
        <f t="shared" si="2"/>
        <v>7.9493382407837196E-3</v>
      </c>
      <c r="E76" s="88"/>
      <c r="F76" s="88"/>
      <c r="G76" s="88"/>
      <c r="H76" s="89"/>
      <c r="I76" s="89"/>
      <c r="K76" s="89">
        <f t="shared" si="3"/>
        <v>73</v>
      </c>
      <c r="L76" s="101">
        <v>-3.1298930089275899E-3</v>
      </c>
      <c r="P76" s="164"/>
    </row>
    <row r="77" spans="2:16" x14ac:dyDescent="0.2">
      <c r="B77" s="87">
        <v>43398</v>
      </c>
      <c r="C77" s="100">
        <v>4.6509999999999998</v>
      </c>
      <c r="D77" s="101">
        <f t="shared" si="2"/>
        <v>-4.7190134763292002E-3</v>
      </c>
      <c r="E77" s="88"/>
      <c r="F77" s="88"/>
      <c r="G77" s="88"/>
      <c r="H77" s="89"/>
      <c r="I77" s="89"/>
      <c r="K77" s="89">
        <f t="shared" si="3"/>
        <v>74</v>
      </c>
      <c r="L77" s="101">
        <v>-3.0864222031893899E-3</v>
      </c>
      <c r="P77" s="164"/>
    </row>
    <row r="78" spans="2:16" x14ac:dyDescent="0.2">
      <c r="B78" s="87">
        <v>43399</v>
      </c>
      <c r="C78" s="100">
        <v>4.5920000000000005</v>
      </c>
      <c r="D78" s="101">
        <f t="shared" si="2"/>
        <v>-1.27665912246945E-2</v>
      </c>
      <c r="E78" s="88"/>
      <c r="F78" s="88"/>
      <c r="G78" s="88"/>
      <c r="H78" s="89"/>
      <c r="I78" s="89"/>
      <c r="K78" s="89">
        <f t="shared" si="3"/>
        <v>75</v>
      </c>
      <c r="L78" s="101">
        <v>-3.0646668179032202E-3</v>
      </c>
      <c r="P78" s="164"/>
    </row>
    <row r="79" spans="2:16" x14ac:dyDescent="0.2">
      <c r="B79" s="87">
        <v>43402</v>
      </c>
      <c r="C79" s="100">
        <v>4.6459999999999999</v>
      </c>
      <c r="D79" s="101">
        <f t="shared" si="2"/>
        <v>1.1690975330951999E-2</v>
      </c>
      <c r="E79" s="88"/>
      <c r="F79" s="88"/>
      <c r="G79" s="88"/>
      <c r="H79" s="89"/>
      <c r="I79" s="89"/>
      <c r="K79" s="89">
        <f t="shared" si="3"/>
        <v>76</v>
      </c>
      <c r="L79" s="101">
        <v>-2.9920945596780802E-3</v>
      </c>
      <c r="P79" s="164"/>
    </row>
    <row r="80" spans="2:16" x14ac:dyDescent="0.2">
      <c r="B80" s="87">
        <v>43403</v>
      </c>
      <c r="C80" s="100">
        <v>4.7629999999999999</v>
      </c>
      <c r="D80" s="101">
        <f t="shared" si="2"/>
        <v>2.4871087470505902E-2</v>
      </c>
      <c r="E80" s="88"/>
      <c r="F80" s="88"/>
      <c r="G80" s="88"/>
      <c r="H80" s="89"/>
      <c r="I80" s="89"/>
      <c r="K80" s="89">
        <f t="shared" si="3"/>
        <v>77</v>
      </c>
      <c r="L80" s="101">
        <v>-2.9282597790884499E-3</v>
      </c>
      <c r="P80" s="164"/>
    </row>
    <row r="81" spans="2:16" x14ac:dyDescent="0.2">
      <c r="B81" s="87">
        <v>43404</v>
      </c>
      <c r="C81" s="100">
        <v>4.7880000000000003</v>
      </c>
      <c r="D81" s="101">
        <f t="shared" si="2"/>
        <v>5.2350658770034496E-3</v>
      </c>
      <c r="E81" s="88"/>
      <c r="F81" s="88"/>
      <c r="G81" s="88"/>
      <c r="H81" s="89"/>
      <c r="I81" s="89"/>
      <c r="K81" s="89">
        <f t="shared" si="3"/>
        <v>78</v>
      </c>
      <c r="L81" s="101">
        <v>-2.9221477691720502E-3</v>
      </c>
      <c r="P81" s="164"/>
    </row>
    <row r="82" spans="2:16" x14ac:dyDescent="0.2">
      <c r="B82" s="87">
        <v>43405</v>
      </c>
      <c r="C82" s="100">
        <v>4.774</v>
      </c>
      <c r="D82" s="101">
        <f t="shared" si="2"/>
        <v>-2.9282597790884499E-3</v>
      </c>
      <c r="E82" s="88"/>
      <c r="F82" s="88"/>
      <c r="G82" s="88"/>
      <c r="H82" s="89"/>
      <c r="I82" s="89"/>
      <c r="K82" s="89">
        <f t="shared" si="3"/>
        <v>79</v>
      </c>
      <c r="L82" s="101">
        <v>-2.8770629561318301E-3</v>
      </c>
      <c r="P82" s="164"/>
    </row>
    <row r="83" spans="2:16" x14ac:dyDescent="0.2">
      <c r="B83" s="87">
        <v>43409</v>
      </c>
      <c r="C83" s="100">
        <v>4.8689999999999998</v>
      </c>
      <c r="D83" s="101">
        <f t="shared" si="2"/>
        <v>1.9704049283925398E-2</v>
      </c>
      <c r="E83" s="88"/>
      <c r="F83" s="88"/>
      <c r="G83" s="88"/>
      <c r="H83" s="89"/>
      <c r="I83" s="89"/>
      <c r="K83" s="89">
        <f t="shared" si="3"/>
        <v>80</v>
      </c>
      <c r="L83" s="101">
        <v>-2.8190412250335998E-3</v>
      </c>
      <c r="P83" s="164"/>
    </row>
    <row r="84" spans="2:16" x14ac:dyDescent="0.2">
      <c r="B84" s="87">
        <v>43410</v>
      </c>
      <c r="C84" s="100">
        <v>4.9109999999999996</v>
      </c>
      <c r="D84" s="101">
        <f t="shared" si="2"/>
        <v>8.5890098565436501E-3</v>
      </c>
      <c r="E84" s="88"/>
      <c r="F84" s="88"/>
      <c r="G84" s="88"/>
      <c r="H84" s="89"/>
      <c r="I84" s="89"/>
      <c r="K84" s="89">
        <f t="shared" si="3"/>
        <v>81</v>
      </c>
      <c r="L84" s="101">
        <v>-2.6827648551812598E-3</v>
      </c>
      <c r="P84" s="164"/>
    </row>
    <row r="85" spans="2:16" x14ac:dyDescent="0.2">
      <c r="B85" s="87">
        <v>43411</v>
      </c>
      <c r="C85" s="100">
        <v>4.9369999999999994</v>
      </c>
      <c r="D85" s="101">
        <f t="shared" si="2"/>
        <v>5.2802722196183599E-3</v>
      </c>
      <c r="E85" s="88"/>
      <c r="F85" s="88"/>
      <c r="G85" s="88"/>
      <c r="H85" s="89"/>
      <c r="I85" s="89"/>
      <c r="K85" s="89">
        <f t="shared" si="3"/>
        <v>82</v>
      </c>
      <c r="L85" s="101">
        <v>-2.6313141384065801E-3</v>
      </c>
      <c r="P85" s="164"/>
    </row>
    <row r="86" spans="2:16" x14ac:dyDescent="0.2">
      <c r="B86" s="87">
        <v>43412</v>
      </c>
      <c r="C86" s="100">
        <v>4.9329999999999998</v>
      </c>
      <c r="D86" s="101">
        <f t="shared" si="2"/>
        <v>-8.1053702512457002E-4</v>
      </c>
      <c r="E86" s="88"/>
      <c r="F86" s="88"/>
      <c r="G86" s="88"/>
      <c r="H86" s="89"/>
      <c r="I86" s="89"/>
      <c r="K86" s="89">
        <f t="shared" si="3"/>
        <v>83</v>
      </c>
      <c r="L86" s="101">
        <v>-2.4395214375409202E-3</v>
      </c>
      <c r="P86" s="164"/>
    </row>
    <row r="87" spans="2:16" x14ac:dyDescent="0.2">
      <c r="B87" s="87">
        <v>43413</v>
      </c>
      <c r="C87" s="100">
        <v>4.968</v>
      </c>
      <c r="D87" s="101">
        <f t="shared" si="2"/>
        <v>7.0700223795764298E-3</v>
      </c>
      <c r="E87" s="88"/>
      <c r="F87" s="88"/>
      <c r="G87" s="88"/>
      <c r="H87" s="89"/>
      <c r="I87" s="89"/>
      <c r="K87" s="89">
        <f t="shared" si="3"/>
        <v>84</v>
      </c>
      <c r="L87" s="101">
        <v>-2.2161790071845702E-3</v>
      </c>
      <c r="P87" s="164"/>
    </row>
    <row r="88" spans="2:16" x14ac:dyDescent="0.2">
      <c r="B88" s="87">
        <v>43416</v>
      </c>
      <c r="C88" s="100">
        <v>4.9870000000000001</v>
      </c>
      <c r="D88" s="101">
        <f t="shared" si="2"/>
        <v>3.81718193280798E-3</v>
      </c>
      <c r="E88" s="88"/>
      <c r="F88" s="88"/>
      <c r="G88" s="88"/>
      <c r="H88" s="89"/>
      <c r="I88" s="89"/>
      <c r="K88" s="89">
        <f t="shared" si="3"/>
        <v>85</v>
      </c>
      <c r="L88" s="101">
        <v>-2.13862237631249E-3</v>
      </c>
      <c r="P88" s="164"/>
    </row>
    <row r="89" spans="2:16" x14ac:dyDescent="0.2">
      <c r="B89" s="87">
        <v>43417</v>
      </c>
      <c r="C89" s="100">
        <v>4.9859999999999998</v>
      </c>
      <c r="D89" s="101">
        <f t="shared" si="2"/>
        <v>-2.0054146261939E-4</v>
      </c>
      <c r="E89" s="88"/>
      <c r="F89" s="88"/>
      <c r="G89" s="88"/>
      <c r="H89" s="89"/>
      <c r="I89" s="89"/>
      <c r="K89" s="89">
        <f t="shared" si="3"/>
        <v>86</v>
      </c>
      <c r="L89" s="101">
        <v>-2.1315772047255199E-3</v>
      </c>
      <c r="P89" s="164"/>
    </row>
    <row r="90" spans="2:16" x14ac:dyDescent="0.2">
      <c r="B90" s="87">
        <v>43418</v>
      </c>
      <c r="C90" s="100">
        <v>4.976</v>
      </c>
      <c r="D90" s="101">
        <f t="shared" si="2"/>
        <v>-2.0076296644877898E-3</v>
      </c>
      <c r="E90" s="88"/>
      <c r="F90" s="88"/>
      <c r="G90" s="88"/>
      <c r="H90" s="89"/>
      <c r="I90" s="89"/>
      <c r="K90" s="89">
        <f t="shared" si="3"/>
        <v>87</v>
      </c>
      <c r="L90" s="101">
        <v>-2.1131503396958902E-3</v>
      </c>
      <c r="P90" s="164"/>
    </row>
    <row r="91" spans="2:16" x14ac:dyDescent="0.2">
      <c r="B91" s="87">
        <v>43419</v>
      </c>
      <c r="C91" s="100">
        <v>4.9740000000000002</v>
      </c>
      <c r="D91" s="101">
        <f t="shared" si="2"/>
        <v>-4.0201005566537E-4</v>
      </c>
      <c r="E91" s="88"/>
      <c r="F91" s="88"/>
      <c r="G91" s="88"/>
      <c r="H91" s="89"/>
      <c r="I91" s="89"/>
      <c r="K91" s="89">
        <f t="shared" si="3"/>
        <v>88</v>
      </c>
      <c r="L91" s="101">
        <v>-2.0076296644877898E-3</v>
      </c>
      <c r="P91" s="164"/>
    </row>
    <row r="92" spans="2:16" x14ac:dyDescent="0.2">
      <c r="B92" s="87">
        <v>43420</v>
      </c>
      <c r="C92" s="100">
        <v>5.0170000000000003</v>
      </c>
      <c r="D92" s="101">
        <f t="shared" si="2"/>
        <v>8.6078001209029999E-3</v>
      </c>
      <c r="E92" s="88"/>
      <c r="F92" s="88"/>
      <c r="G92" s="88"/>
      <c r="H92" s="89"/>
      <c r="I92" s="89"/>
      <c r="K92" s="89">
        <f t="shared" si="3"/>
        <v>89</v>
      </c>
      <c r="L92" s="101">
        <v>-1.9381937800034099E-3</v>
      </c>
      <c r="P92" s="164"/>
    </row>
    <row r="93" spans="2:16" x14ac:dyDescent="0.2">
      <c r="B93" s="87">
        <v>43423</v>
      </c>
      <c r="C93" s="100">
        <v>5.0510000000000002</v>
      </c>
      <c r="D93" s="101">
        <f t="shared" si="2"/>
        <v>6.7540979837995598E-3</v>
      </c>
      <c r="E93" s="88"/>
      <c r="F93" s="88"/>
      <c r="G93" s="88"/>
      <c r="H93" s="89"/>
      <c r="I93" s="89"/>
      <c r="K93" s="89">
        <f t="shared" si="3"/>
        <v>90</v>
      </c>
      <c r="L93" s="101">
        <v>-1.5329029608477499E-3</v>
      </c>
      <c r="P93" s="164"/>
    </row>
    <row r="94" spans="2:16" x14ac:dyDescent="0.2">
      <c r="B94" s="87">
        <v>43424</v>
      </c>
      <c r="C94" s="100">
        <v>4.9380000000000006</v>
      </c>
      <c r="D94" s="101">
        <f t="shared" si="2"/>
        <v>-2.2625852562927599E-2</v>
      </c>
      <c r="E94" s="88"/>
      <c r="F94" s="88"/>
      <c r="G94" s="88"/>
      <c r="H94" s="89"/>
      <c r="I94" s="89"/>
      <c r="K94" s="89">
        <f t="shared" si="3"/>
        <v>91</v>
      </c>
      <c r="L94" s="101">
        <v>-1.287277586042E-3</v>
      </c>
      <c r="P94" s="164"/>
    </row>
    <row r="95" spans="2:16" x14ac:dyDescent="0.2">
      <c r="B95" s="87">
        <v>43425</v>
      </c>
      <c r="C95" s="100">
        <v>4.8729999999999993</v>
      </c>
      <c r="D95" s="101">
        <f t="shared" si="2"/>
        <v>-1.32506270616189E-2</v>
      </c>
      <c r="E95" s="88"/>
      <c r="F95" s="88"/>
      <c r="G95" s="88"/>
      <c r="H95" s="89"/>
      <c r="I95" s="89"/>
      <c r="K95" s="89">
        <f t="shared" si="3"/>
        <v>92</v>
      </c>
      <c r="L95" s="101">
        <v>-1.0958905206368899E-3</v>
      </c>
      <c r="P95" s="164"/>
    </row>
    <row r="96" spans="2:16" x14ac:dyDescent="0.2">
      <c r="B96" s="87">
        <v>43427</v>
      </c>
      <c r="C96" s="100">
        <v>4.9020000000000001</v>
      </c>
      <c r="D96" s="101">
        <f t="shared" si="2"/>
        <v>5.9335212445519097E-3</v>
      </c>
      <c r="E96" s="88"/>
      <c r="F96" s="88"/>
      <c r="G96" s="88"/>
      <c r="H96" s="89"/>
      <c r="I96" s="89"/>
      <c r="K96" s="89">
        <f t="shared" si="3"/>
        <v>93</v>
      </c>
      <c r="L96" s="101">
        <v>-1.0930157389407399E-3</v>
      </c>
      <c r="P96" s="164"/>
    </row>
    <row r="97" spans="2:16" x14ac:dyDescent="0.2">
      <c r="B97" s="87">
        <v>43430</v>
      </c>
      <c r="C97" s="100">
        <v>4.8869999999999996</v>
      </c>
      <c r="D97" s="101">
        <f t="shared" si="2"/>
        <v>-3.0646668179032202E-3</v>
      </c>
      <c r="E97" s="88"/>
      <c r="F97" s="88"/>
      <c r="G97" s="88"/>
      <c r="H97" s="89"/>
      <c r="I97" s="89"/>
      <c r="K97" s="89">
        <f t="shared" si="3"/>
        <v>94</v>
      </c>
      <c r="L97" s="101">
        <v>-1.0643960557866999E-3</v>
      </c>
      <c r="P97" s="164"/>
    </row>
    <row r="98" spans="2:16" x14ac:dyDescent="0.2">
      <c r="B98" s="87">
        <v>43431</v>
      </c>
      <c r="C98" s="100">
        <v>4.9369999999999994</v>
      </c>
      <c r="D98" s="101">
        <f t="shared" si="2"/>
        <v>1.0179240988708101E-2</v>
      </c>
      <c r="E98" s="88"/>
      <c r="F98" s="88"/>
      <c r="G98" s="88"/>
      <c r="H98" s="89"/>
      <c r="I98" s="89"/>
      <c r="K98" s="89">
        <f t="shared" si="3"/>
        <v>95</v>
      </c>
      <c r="L98" s="101">
        <v>-9.7361510952565997E-4</v>
      </c>
      <c r="P98" s="164"/>
    </row>
    <row r="99" spans="2:16" x14ac:dyDescent="0.2">
      <c r="B99" s="87">
        <v>43432</v>
      </c>
      <c r="C99" s="100">
        <v>4.9710000000000001</v>
      </c>
      <c r="D99" s="101">
        <f t="shared" si="2"/>
        <v>6.8631678358098301E-3</v>
      </c>
      <c r="E99" s="88"/>
      <c r="F99" s="88"/>
      <c r="G99" s="88"/>
      <c r="H99" s="89"/>
      <c r="I99" s="89"/>
      <c r="K99" s="89">
        <f t="shared" si="3"/>
        <v>96</v>
      </c>
      <c r="L99" s="101">
        <v>-8.8202872311476997E-4</v>
      </c>
      <c r="P99" s="164"/>
    </row>
    <row r="100" spans="2:16" x14ac:dyDescent="0.2">
      <c r="B100" s="87">
        <v>43433</v>
      </c>
      <c r="C100" s="100">
        <v>4.8979999999999997</v>
      </c>
      <c r="D100" s="101">
        <f t="shared" si="2"/>
        <v>-1.47940685825596E-2</v>
      </c>
      <c r="E100" s="88"/>
      <c r="F100" s="88"/>
      <c r="G100" s="88"/>
      <c r="H100" s="89"/>
      <c r="I100" s="89"/>
      <c r="K100" s="89">
        <f t="shared" si="3"/>
        <v>97</v>
      </c>
      <c r="L100" s="101">
        <v>-8.6880978531922004E-4</v>
      </c>
      <c r="P100" s="164"/>
    </row>
    <row r="101" spans="2:16" x14ac:dyDescent="0.2">
      <c r="B101" s="87">
        <v>43434</v>
      </c>
      <c r="C101" s="100">
        <v>5.04</v>
      </c>
      <c r="D101" s="101">
        <f t="shared" si="2"/>
        <v>2.8579123553301299E-2</v>
      </c>
      <c r="E101" s="88"/>
      <c r="F101" s="88"/>
      <c r="G101" s="88"/>
      <c r="H101" s="89"/>
      <c r="I101" s="89"/>
      <c r="K101" s="89">
        <f t="shared" si="3"/>
        <v>98</v>
      </c>
      <c r="L101" s="101">
        <v>-8.1053702512457002E-4</v>
      </c>
      <c r="P101" s="164"/>
    </row>
    <row r="102" spans="2:16" x14ac:dyDescent="0.2">
      <c r="B102" s="87">
        <v>43437</v>
      </c>
      <c r="C102" s="100">
        <v>4.9689999999999994</v>
      </c>
      <c r="D102" s="101">
        <f t="shared" si="2"/>
        <v>-1.4187469463093899E-2</v>
      </c>
      <c r="E102" s="88"/>
      <c r="F102" s="88"/>
      <c r="G102" s="88"/>
      <c r="H102" s="89"/>
      <c r="I102" s="89"/>
      <c r="K102" s="89">
        <f t="shared" si="3"/>
        <v>99</v>
      </c>
      <c r="L102" s="101">
        <v>-7.8277890494095001E-4</v>
      </c>
      <c r="P102" s="164"/>
    </row>
    <row r="103" spans="2:16" x14ac:dyDescent="0.2">
      <c r="B103" s="87">
        <v>43438</v>
      </c>
      <c r="C103" s="100">
        <v>4.9580000000000002</v>
      </c>
      <c r="D103" s="101">
        <f t="shared" si="2"/>
        <v>-2.2161790071845702E-3</v>
      </c>
      <c r="E103" s="88"/>
      <c r="F103" s="88"/>
      <c r="G103" s="88"/>
      <c r="H103" s="89"/>
      <c r="I103" s="89"/>
      <c r="K103" s="89">
        <f t="shared" si="3"/>
        <v>100</v>
      </c>
      <c r="L103" s="101">
        <v>-6.5868923229073998E-4</v>
      </c>
      <c r="P103" s="164"/>
    </row>
    <row r="104" spans="2:16" x14ac:dyDescent="0.2">
      <c r="B104" s="87">
        <v>43440</v>
      </c>
      <c r="C104" s="100">
        <v>4.9380000000000006</v>
      </c>
      <c r="D104" s="101">
        <f t="shared" si="2"/>
        <v>-4.0420426900109304E-3</v>
      </c>
      <c r="E104" s="88"/>
      <c r="F104" s="88"/>
      <c r="G104" s="88"/>
      <c r="H104" s="89"/>
      <c r="I104" s="89"/>
      <c r="K104" s="89">
        <f t="shared" si="3"/>
        <v>101</v>
      </c>
      <c r="L104" s="101">
        <v>-6.4899948194704004E-4</v>
      </c>
      <c r="P104" s="164"/>
    </row>
    <row r="105" spans="2:16" x14ac:dyDescent="0.2">
      <c r="B105" s="87">
        <v>43441</v>
      </c>
      <c r="C105" s="100">
        <v>4.9090000000000007</v>
      </c>
      <c r="D105" s="101">
        <f t="shared" si="2"/>
        <v>-5.8901358470722903E-3</v>
      </c>
      <c r="E105" s="88"/>
      <c r="F105" s="88"/>
      <c r="G105" s="88"/>
      <c r="H105" s="89"/>
      <c r="I105" s="89"/>
      <c r="K105" s="89">
        <f t="shared" si="3"/>
        <v>102</v>
      </c>
      <c r="L105" s="101">
        <v>-6.4384592845464995E-4</v>
      </c>
      <c r="P105" s="164"/>
    </row>
    <row r="106" spans="2:16" x14ac:dyDescent="0.2">
      <c r="B106" s="87">
        <v>43444</v>
      </c>
      <c r="C106" s="100">
        <v>4.9240000000000004</v>
      </c>
      <c r="D106" s="101">
        <f t="shared" si="2"/>
        <v>3.0509532462915699E-3</v>
      </c>
      <c r="E106" s="88"/>
      <c r="F106" s="88"/>
      <c r="G106" s="88"/>
      <c r="H106" s="89"/>
      <c r="I106" s="89"/>
      <c r="K106" s="89">
        <f t="shared" si="3"/>
        <v>103</v>
      </c>
      <c r="L106" s="101">
        <v>-6.4343165758735997E-4</v>
      </c>
      <c r="P106" s="164"/>
    </row>
    <row r="107" spans="2:16" x14ac:dyDescent="0.2">
      <c r="B107" s="87">
        <v>43445</v>
      </c>
      <c r="C107" s="100">
        <v>4.9539999999999997</v>
      </c>
      <c r="D107" s="101">
        <f t="shared" si="2"/>
        <v>6.0741227449606196E-3</v>
      </c>
      <c r="E107" s="88"/>
      <c r="F107" s="88"/>
      <c r="G107" s="88"/>
      <c r="H107" s="89"/>
      <c r="I107" s="89"/>
      <c r="K107" s="89">
        <f t="shared" si="3"/>
        <v>104</v>
      </c>
      <c r="L107" s="101">
        <v>-6.4301791948728998E-4</v>
      </c>
      <c r="P107" s="164"/>
    </row>
    <row r="108" spans="2:16" x14ac:dyDescent="0.2">
      <c r="B108" s="87">
        <v>43446</v>
      </c>
      <c r="C108" s="100">
        <v>4.9219999999999997</v>
      </c>
      <c r="D108" s="101">
        <f t="shared" si="2"/>
        <v>-6.4803790983036904E-3</v>
      </c>
      <c r="E108" s="88"/>
      <c r="F108" s="88"/>
      <c r="G108" s="88"/>
      <c r="H108" s="89"/>
      <c r="I108" s="89"/>
      <c r="K108" s="89">
        <f t="shared" si="3"/>
        <v>105</v>
      </c>
      <c r="L108" s="101">
        <v>-4.3936731814008E-4</v>
      </c>
      <c r="P108" s="164"/>
    </row>
    <row r="109" spans="2:16" x14ac:dyDescent="0.2">
      <c r="B109" s="87">
        <v>43447</v>
      </c>
      <c r="C109" s="100">
        <v>4.9470000000000001</v>
      </c>
      <c r="D109" s="101">
        <f t="shared" si="2"/>
        <v>5.0663802767075801E-3</v>
      </c>
      <c r="E109" s="88"/>
      <c r="F109" s="88"/>
      <c r="G109" s="88"/>
      <c r="H109" s="89"/>
      <c r="I109" s="89"/>
      <c r="K109" s="89">
        <f t="shared" si="3"/>
        <v>106</v>
      </c>
      <c r="L109" s="101">
        <v>-4.3610990660669001E-4</v>
      </c>
      <c r="P109" s="164"/>
    </row>
    <row r="110" spans="2:16" x14ac:dyDescent="0.2">
      <c r="B110" s="87">
        <v>43448</v>
      </c>
      <c r="C110" s="100">
        <v>4.9340000000000002</v>
      </c>
      <c r="D110" s="101">
        <f t="shared" si="2"/>
        <v>-2.6313141384065801E-3</v>
      </c>
      <c r="E110" s="88"/>
      <c r="F110" s="88"/>
      <c r="G110" s="88"/>
      <c r="H110" s="89"/>
      <c r="I110" s="89"/>
      <c r="K110" s="89">
        <f t="shared" si="3"/>
        <v>107</v>
      </c>
      <c r="L110" s="101">
        <v>-4.0201005566537E-4</v>
      </c>
      <c r="P110" s="164"/>
    </row>
    <row r="111" spans="2:16" x14ac:dyDescent="0.2">
      <c r="B111" s="87">
        <v>43451</v>
      </c>
      <c r="C111" s="100">
        <v>4.8330000000000002</v>
      </c>
      <c r="D111" s="101">
        <f t="shared" si="2"/>
        <v>-2.0682625244217899E-2</v>
      </c>
      <c r="E111" s="88"/>
      <c r="F111" s="88"/>
      <c r="G111" s="88"/>
      <c r="H111" s="89"/>
      <c r="I111" s="89"/>
      <c r="K111" s="89">
        <f t="shared" si="3"/>
        <v>108</v>
      </c>
      <c r="L111" s="101">
        <v>-2.2353861722693001E-4</v>
      </c>
      <c r="P111" s="164"/>
    </row>
    <row r="112" spans="2:16" x14ac:dyDescent="0.2">
      <c r="B112" s="87">
        <v>43452</v>
      </c>
      <c r="C112" s="100">
        <v>4.8319999999999999</v>
      </c>
      <c r="D112" s="101">
        <f t="shared" si="2"/>
        <v>-2.0693223043321001E-4</v>
      </c>
      <c r="E112" s="88"/>
      <c r="F112" s="88"/>
      <c r="G112" s="88"/>
      <c r="H112" s="89"/>
      <c r="I112" s="89"/>
      <c r="K112" s="89">
        <f t="shared" si="3"/>
        <v>109</v>
      </c>
      <c r="L112" s="101">
        <v>-2.2165576949878001E-4</v>
      </c>
      <c r="P112" s="164"/>
    </row>
    <row r="113" spans="2:16" x14ac:dyDescent="0.2">
      <c r="B113" s="87">
        <v>43453</v>
      </c>
      <c r="C113" s="100">
        <v>4.79</v>
      </c>
      <c r="D113" s="101">
        <f t="shared" si="2"/>
        <v>-8.7300492096899305E-3</v>
      </c>
      <c r="E113" s="88"/>
      <c r="F113" s="88"/>
      <c r="G113" s="88"/>
      <c r="H113" s="89"/>
      <c r="I113" s="89"/>
      <c r="K113" s="89">
        <f t="shared" si="3"/>
        <v>110</v>
      </c>
      <c r="L113" s="101">
        <v>-2.1516944676867999E-4</v>
      </c>
      <c r="P113" s="164"/>
    </row>
    <row r="114" spans="2:16" x14ac:dyDescent="0.2">
      <c r="B114" s="87">
        <v>43454</v>
      </c>
      <c r="C114" s="100">
        <v>4.7539999999999996</v>
      </c>
      <c r="D114" s="101">
        <f t="shared" si="2"/>
        <v>-7.54404248482174E-3</v>
      </c>
      <c r="E114" s="88"/>
      <c r="F114" s="88"/>
      <c r="G114" s="88"/>
      <c r="H114" s="89"/>
      <c r="I114" s="89"/>
      <c r="K114" s="89">
        <f t="shared" si="3"/>
        <v>111</v>
      </c>
      <c r="L114" s="101">
        <v>-2.0693223043321001E-4</v>
      </c>
      <c r="P114" s="164"/>
    </row>
    <row r="115" spans="2:16" x14ac:dyDescent="0.2">
      <c r="B115" s="87">
        <v>43455</v>
      </c>
      <c r="C115" s="100">
        <v>4.7569999999999997</v>
      </c>
      <c r="D115" s="101">
        <f t="shared" si="2"/>
        <v>6.3084851214228002E-4</v>
      </c>
      <c r="E115" s="88"/>
      <c r="F115" s="88"/>
      <c r="G115" s="88"/>
      <c r="H115" s="89"/>
      <c r="I115" s="89"/>
      <c r="K115" s="89">
        <f t="shared" si="3"/>
        <v>112</v>
      </c>
      <c r="L115" s="101">
        <v>-2.0054146261939E-4</v>
      </c>
      <c r="P115" s="164"/>
    </row>
    <row r="116" spans="2:16" x14ac:dyDescent="0.2">
      <c r="B116" s="87">
        <v>43458</v>
      </c>
      <c r="C116" s="100">
        <v>4.5960000000000001</v>
      </c>
      <c r="D116" s="101">
        <f t="shared" si="2"/>
        <v>-3.4430857463635098E-2</v>
      </c>
      <c r="E116" s="88"/>
      <c r="F116" s="88"/>
      <c r="G116" s="88"/>
      <c r="H116" s="89"/>
      <c r="I116" s="89"/>
      <c r="K116" s="89">
        <f t="shared" si="3"/>
        <v>113</v>
      </c>
      <c r="L116" s="101">
        <v>0</v>
      </c>
      <c r="P116" s="164"/>
    </row>
    <row r="117" spans="2:16" x14ac:dyDescent="0.2">
      <c r="B117" s="87">
        <v>43460</v>
      </c>
      <c r="C117" s="100">
        <v>4.694</v>
      </c>
      <c r="D117" s="101">
        <f t="shared" si="2"/>
        <v>2.1098737442322501E-2</v>
      </c>
      <c r="E117" s="88"/>
      <c r="F117" s="88"/>
      <c r="G117" s="88"/>
      <c r="H117" s="89"/>
      <c r="I117" s="89"/>
      <c r="K117" s="89">
        <f t="shared" si="3"/>
        <v>114</v>
      </c>
      <c r="L117" s="101">
        <v>1.9192016180200999E-4</v>
      </c>
      <c r="P117" s="164"/>
    </row>
    <row r="118" spans="2:16" x14ac:dyDescent="0.2">
      <c r="B118" s="87">
        <v>43461</v>
      </c>
      <c r="C118" s="100">
        <v>4.7530000000000001</v>
      </c>
      <c r="D118" s="101">
        <f t="shared" si="2"/>
        <v>1.24909002030405E-2</v>
      </c>
      <c r="E118" s="88"/>
      <c r="F118" s="88"/>
      <c r="G118" s="88"/>
      <c r="H118" s="89"/>
      <c r="I118" s="89"/>
      <c r="K118" s="89">
        <f t="shared" si="3"/>
        <v>115</v>
      </c>
      <c r="L118" s="101">
        <v>2.0302507429406999E-4</v>
      </c>
      <c r="P118" s="164"/>
    </row>
    <row r="119" spans="2:16" x14ac:dyDescent="0.2">
      <c r="B119" s="87">
        <v>43462</v>
      </c>
      <c r="C119" s="100">
        <v>4.7200000000000006</v>
      </c>
      <c r="D119" s="101">
        <f t="shared" si="2"/>
        <v>-6.9671980344083104E-3</v>
      </c>
      <c r="E119" s="88"/>
      <c r="F119" s="88"/>
      <c r="G119" s="88"/>
      <c r="H119" s="89"/>
      <c r="I119" s="89"/>
      <c r="K119" s="89">
        <f t="shared" si="3"/>
        <v>116</v>
      </c>
      <c r="L119" s="101">
        <v>4.0008002133989001E-4</v>
      </c>
      <c r="P119" s="164"/>
    </row>
    <row r="120" spans="2:16" x14ac:dyDescent="0.2">
      <c r="B120" s="87">
        <v>43465</v>
      </c>
      <c r="C120" s="100">
        <v>4.7350000000000003</v>
      </c>
      <c r="D120" s="101">
        <f t="shared" si="2"/>
        <v>3.17292704057749E-3</v>
      </c>
      <c r="E120" s="88"/>
      <c r="F120" s="88"/>
      <c r="G120" s="88"/>
      <c r="H120" s="89"/>
      <c r="I120" s="89"/>
      <c r="K120" s="89">
        <f t="shared" si="3"/>
        <v>117</v>
      </c>
      <c r="L120" s="101">
        <v>4.3271311795886998E-4</v>
      </c>
      <c r="P120" s="164"/>
    </row>
    <row r="121" spans="2:16" x14ac:dyDescent="0.2">
      <c r="B121" s="87">
        <v>43467</v>
      </c>
      <c r="C121" s="100">
        <v>4.6929999999999996</v>
      </c>
      <c r="D121" s="101">
        <f t="shared" si="2"/>
        <v>-8.9096898257611593E-3</v>
      </c>
      <c r="E121" s="88"/>
      <c r="F121" s="88"/>
      <c r="G121" s="88"/>
      <c r="H121" s="89"/>
      <c r="I121" s="89"/>
      <c r="K121" s="89">
        <f t="shared" si="3"/>
        <v>118</v>
      </c>
      <c r="L121" s="101">
        <v>6.3084851214228002E-4</v>
      </c>
      <c r="P121" s="164"/>
    </row>
    <row r="122" spans="2:16" x14ac:dyDescent="0.2">
      <c r="B122" s="87">
        <v>43468</v>
      </c>
      <c r="C122" s="100">
        <v>4.6639999999999997</v>
      </c>
      <c r="D122" s="101">
        <f t="shared" si="2"/>
        <v>-6.1985877640893796E-3</v>
      </c>
      <c r="E122" s="88"/>
      <c r="F122" s="88"/>
      <c r="G122" s="88"/>
      <c r="H122" s="89"/>
      <c r="I122" s="89"/>
      <c r="K122" s="89">
        <f t="shared" si="3"/>
        <v>119</v>
      </c>
      <c r="L122" s="101">
        <v>6.4205459669531997E-4</v>
      </c>
      <c r="P122" s="164"/>
    </row>
    <row r="123" spans="2:16" x14ac:dyDescent="0.2">
      <c r="B123" s="87">
        <v>43469</v>
      </c>
      <c r="C123" s="100">
        <v>4.7569999999999997</v>
      </c>
      <c r="D123" s="101">
        <f t="shared" si="2"/>
        <v>1.9743768401953101E-2</v>
      </c>
      <c r="E123" s="88"/>
      <c r="F123" s="88"/>
      <c r="G123" s="88"/>
      <c r="H123" s="89"/>
      <c r="I123" s="89"/>
      <c r="K123" s="89">
        <f t="shared" si="3"/>
        <v>120</v>
      </c>
      <c r="L123" s="101">
        <v>6.5295464285281999E-4</v>
      </c>
      <c r="P123" s="164"/>
    </row>
    <row r="124" spans="2:16" x14ac:dyDescent="0.2">
      <c r="B124" s="87">
        <v>43472</v>
      </c>
      <c r="C124" s="100">
        <v>4.6950000000000003</v>
      </c>
      <c r="D124" s="101">
        <f t="shared" si="2"/>
        <v>-1.3119104789918E-2</v>
      </c>
      <c r="E124" s="88"/>
      <c r="F124" s="88"/>
      <c r="G124" s="88"/>
      <c r="H124" s="89"/>
      <c r="I124" s="89"/>
      <c r="K124" s="89">
        <f t="shared" si="3"/>
        <v>121</v>
      </c>
      <c r="L124" s="101">
        <v>6.5409355869620997E-4</v>
      </c>
      <c r="P124" s="164"/>
    </row>
    <row r="125" spans="2:16" x14ac:dyDescent="0.2">
      <c r="B125" s="87">
        <v>43473</v>
      </c>
      <c r="C125" s="100">
        <v>4.7479999999999993</v>
      </c>
      <c r="D125" s="101">
        <f t="shared" si="2"/>
        <v>1.1225364087195201E-2</v>
      </c>
      <c r="E125" s="88"/>
      <c r="F125" s="88"/>
      <c r="G125" s="88"/>
      <c r="H125" s="89"/>
      <c r="I125" s="89"/>
      <c r="K125" s="89">
        <f t="shared" si="3"/>
        <v>122</v>
      </c>
      <c r="L125" s="101">
        <v>8.6561355761997005E-4</v>
      </c>
      <c r="P125" s="164"/>
    </row>
    <row r="126" spans="2:16" x14ac:dyDescent="0.2">
      <c r="B126" s="87">
        <v>43474</v>
      </c>
      <c r="C126" s="100">
        <v>4.657</v>
      </c>
      <c r="D126" s="101">
        <f t="shared" si="2"/>
        <v>-1.9352012747181301E-2</v>
      </c>
      <c r="E126" s="88"/>
      <c r="F126" s="88"/>
      <c r="G126" s="88"/>
      <c r="H126" s="89"/>
      <c r="I126" s="89"/>
      <c r="K126" s="89">
        <f t="shared" si="3"/>
        <v>123</v>
      </c>
      <c r="L126" s="101">
        <v>8.8183427231262E-4</v>
      </c>
      <c r="P126" s="164"/>
    </row>
    <row r="127" spans="2:16" x14ac:dyDescent="0.2">
      <c r="B127" s="87">
        <v>43475</v>
      </c>
      <c r="C127" s="100">
        <v>4.7069999999999999</v>
      </c>
      <c r="D127" s="101">
        <f t="shared" si="2"/>
        <v>1.0679298418765E-2</v>
      </c>
      <c r="E127" s="88"/>
      <c r="F127" s="88"/>
      <c r="G127" s="88"/>
      <c r="H127" s="89"/>
      <c r="I127" s="89"/>
      <c r="K127" s="89">
        <f t="shared" si="3"/>
        <v>124</v>
      </c>
      <c r="L127" s="101">
        <v>8.9565612794438999E-4</v>
      </c>
      <c r="P127" s="164"/>
    </row>
    <row r="128" spans="2:16" x14ac:dyDescent="0.2">
      <c r="B128" s="87">
        <v>43476</v>
      </c>
      <c r="C128" s="100">
        <v>4.734</v>
      </c>
      <c r="D128" s="101">
        <f t="shared" si="2"/>
        <v>5.7197486727869097E-3</v>
      </c>
      <c r="E128" s="88"/>
      <c r="F128" s="88"/>
      <c r="G128" s="88"/>
      <c r="H128" s="89"/>
      <c r="I128" s="89"/>
      <c r="K128" s="89">
        <f t="shared" si="3"/>
        <v>125</v>
      </c>
      <c r="L128" s="101">
        <v>1.0073537670628799E-3</v>
      </c>
      <c r="P128" s="164"/>
    </row>
    <row r="129" spans="2:16" x14ac:dyDescent="0.2">
      <c r="B129" s="87">
        <v>43479</v>
      </c>
      <c r="C129" s="100">
        <v>4.7149999999999999</v>
      </c>
      <c r="D129" s="101">
        <f t="shared" si="2"/>
        <v>-4.0215950063713802E-3</v>
      </c>
      <c r="E129" s="88"/>
      <c r="F129" s="88"/>
      <c r="G129" s="88"/>
      <c r="H129" s="89"/>
      <c r="I129" s="89"/>
      <c r="K129" s="89">
        <f t="shared" si="3"/>
        <v>126</v>
      </c>
      <c r="L129" s="101">
        <v>1.30832988570944E-3</v>
      </c>
      <c r="P129" s="164"/>
    </row>
    <row r="130" spans="2:16" x14ac:dyDescent="0.2">
      <c r="B130" s="87">
        <v>43480</v>
      </c>
      <c r="C130" s="100">
        <v>4.7569999999999997</v>
      </c>
      <c r="D130" s="101">
        <f t="shared" si="2"/>
        <v>8.8683013647234896E-3</v>
      </c>
      <c r="E130" s="88"/>
      <c r="F130" s="88"/>
      <c r="G130" s="88"/>
      <c r="H130" s="89"/>
      <c r="I130" s="89"/>
      <c r="K130" s="89">
        <f t="shared" si="3"/>
        <v>127</v>
      </c>
      <c r="L130" s="101">
        <v>1.31406063586881E-3</v>
      </c>
      <c r="P130" s="164"/>
    </row>
    <row r="131" spans="2:16" x14ac:dyDescent="0.2">
      <c r="B131" s="87">
        <v>43481</v>
      </c>
      <c r="C131" s="100">
        <v>4.6920000000000002</v>
      </c>
      <c r="D131" s="101">
        <f t="shared" si="2"/>
        <v>-1.3758286658915301E-2</v>
      </c>
      <c r="E131" s="88"/>
      <c r="F131" s="88"/>
      <c r="G131" s="88"/>
      <c r="H131" s="89"/>
      <c r="I131" s="89"/>
      <c r="K131" s="89">
        <f t="shared" si="3"/>
        <v>128</v>
      </c>
      <c r="L131" s="101">
        <v>1.4997324717797801E-3</v>
      </c>
      <c r="P131" s="164"/>
    </row>
    <row r="132" spans="2:16" x14ac:dyDescent="0.2">
      <c r="B132" s="87">
        <v>43482</v>
      </c>
      <c r="C132" s="100">
        <v>4.7060000000000004</v>
      </c>
      <c r="D132" s="101">
        <f t="shared" si="2"/>
        <v>2.97935951394185E-3</v>
      </c>
      <c r="E132" s="88"/>
      <c r="F132" s="88"/>
      <c r="G132" s="88"/>
      <c r="H132" s="89"/>
      <c r="I132" s="89"/>
      <c r="K132" s="89">
        <f t="shared" si="3"/>
        <v>129</v>
      </c>
      <c r="L132" s="101">
        <v>1.5658206979561899E-3</v>
      </c>
      <c r="P132" s="164"/>
    </row>
    <row r="133" spans="2:16" x14ac:dyDescent="0.2">
      <c r="B133" s="87">
        <v>43483</v>
      </c>
      <c r="C133" s="100">
        <v>4.7610000000000001</v>
      </c>
      <c r="D133" s="101">
        <f t="shared" si="2"/>
        <v>1.1619439907210901E-2</v>
      </c>
      <c r="E133" s="88"/>
      <c r="F133" s="88"/>
      <c r="G133" s="88"/>
      <c r="H133" s="89"/>
      <c r="I133" s="89"/>
      <c r="K133" s="89">
        <f t="shared" si="3"/>
        <v>130</v>
      </c>
      <c r="L133" s="101">
        <v>1.61746901418066E-3</v>
      </c>
      <c r="P133" s="164"/>
    </row>
    <row r="134" spans="2:16" x14ac:dyDescent="0.2">
      <c r="B134" s="87">
        <v>43487</v>
      </c>
      <c r="C134" s="100">
        <v>4.7720000000000002</v>
      </c>
      <c r="D134" s="101">
        <f t="shared" ref="D134:D197" si="4">ROUND(LN(C134/C133),$D$1)</f>
        <v>2.3077740232878901E-3</v>
      </c>
      <c r="E134" s="88"/>
      <c r="F134" s="88"/>
      <c r="G134" s="88"/>
      <c r="H134" s="89"/>
      <c r="I134" s="89"/>
      <c r="K134" s="89">
        <f t="shared" ref="K134:K197" si="5">K133+1</f>
        <v>131</v>
      </c>
      <c r="L134" s="101">
        <v>1.72006062618892E-3</v>
      </c>
      <c r="P134" s="164"/>
    </row>
    <row r="135" spans="2:16" x14ac:dyDescent="0.2">
      <c r="B135" s="87">
        <v>43488</v>
      </c>
      <c r="C135" s="100">
        <v>4.827</v>
      </c>
      <c r="D135" s="101">
        <f t="shared" si="4"/>
        <v>1.14596524426861E-2</v>
      </c>
      <c r="E135" s="88"/>
      <c r="F135" s="88"/>
      <c r="G135" s="88"/>
      <c r="H135" s="89"/>
      <c r="I135" s="89"/>
      <c r="K135" s="89">
        <f t="shared" si="5"/>
        <v>132</v>
      </c>
      <c r="L135" s="101">
        <v>1.7494415969305599E-3</v>
      </c>
      <c r="P135" s="164"/>
    </row>
    <row r="136" spans="2:16" x14ac:dyDescent="0.2">
      <c r="B136" s="87">
        <v>43489</v>
      </c>
      <c r="C136" s="100">
        <v>4.7690000000000001</v>
      </c>
      <c r="D136" s="101">
        <f t="shared" si="4"/>
        <v>-1.20885173622685E-2</v>
      </c>
      <c r="E136" s="88"/>
      <c r="F136" s="88"/>
      <c r="G136" s="88"/>
      <c r="H136" s="89"/>
      <c r="I136" s="89"/>
      <c r="K136" s="89">
        <f t="shared" si="5"/>
        <v>133</v>
      </c>
      <c r="L136" s="101">
        <v>2.17485949144794E-3</v>
      </c>
      <c r="P136" s="164"/>
    </row>
    <row r="137" spans="2:16" x14ac:dyDescent="0.2">
      <c r="B137" s="87">
        <v>43490</v>
      </c>
      <c r="C137" s="100">
        <v>4.7370000000000001</v>
      </c>
      <c r="D137" s="101">
        <f t="shared" si="4"/>
        <v>-6.7326153744725796E-3</v>
      </c>
      <c r="E137" s="88"/>
      <c r="F137" s="88"/>
      <c r="G137" s="88"/>
      <c r="H137" s="89"/>
      <c r="I137" s="89"/>
      <c r="K137" s="89">
        <f t="shared" si="5"/>
        <v>134</v>
      </c>
      <c r="L137" s="101">
        <v>2.2197567383130299E-3</v>
      </c>
      <c r="P137" s="164"/>
    </row>
    <row r="138" spans="2:16" x14ac:dyDescent="0.2">
      <c r="B138" s="87">
        <v>43493</v>
      </c>
      <c r="C138" s="100">
        <v>4.7170000000000005</v>
      </c>
      <c r="D138" s="101">
        <f t="shared" si="4"/>
        <v>-4.2310196394900702E-3</v>
      </c>
      <c r="E138" s="88"/>
      <c r="F138" s="88"/>
      <c r="G138" s="88"/>
      <c r="H138" s="89"/>
      <c r="I138" s="89"/>
      <c r="K138" s="89">
        <f t="shared" si="5"/>
        <v>135</v>
      </c>
      <c r="L138" s="101">
        <v>2.3059195459770999E-3</v>
      </c>
      <c r="P138" s="164"/>
    </row>
    <row r="139" spans="2:16" x14ac:dyDescent="0.2">
      <c r="B139" s="87">
        <v>43494</v>
      </c>
      <c r="C139" s="100">
        <v>4.74</v>
      </c>
      <c r="D139" s="101">
        <f t="shared" si="4"/>
        <v>4.8641314048603404E-3</v>
      </c>
      <c r="E139" s="88"/>
      <c r="F139" s="88"/>
      <c r="G139" s="88"/>
      <c r="H139" s="89"/>
      <c r="I139" s="89"/>
      <c r="K139" s="89">
        <f t="shared" si="5"/>
        <v>136</v>
      </c>
      <c r="L139" s="101">
        <v>2.3077740232878901E-3</v>
      </c>
      <c r="P139" s="164"/>
    </row>
    <row r="140" spans="2:16" x14ac:dyDescent="0.2">
      <c r="B140" s="87">
        <v>43495</v>
      </c>
      <c r="C140" s="100">
        <v>4.7859999999999996</v>
      </c>
      <c r="D140" s="101">
        <f t="shared" si="4"/>
        <v>9.6578537791963594E-3</v>
      </c>
      <c r="E140" s="88"/>
      <c r="F140" s="88"/>
      <c r="G140" s="88"/>
      <c r="H140" s="89"/>
      <c r="I140" s="89"/>
      <c r="K140" s="89">
        <f t="shared" si="5"/>
        <v>137</v>
      </c>
      <c r="L140" s="101">
        <v>2.4253126208713702E-3</v>
      </c>
      <c r="P140" s="164"/>
    </row>
    <row r="141" spans="2:16" x14ac:dyDescent="0.2">
      <c r="B141" s="87">
        <v>43496</v>
      </c>
      <c r="C141" s="100">
        <v>4.8130000000000006</v>
      </c>
      <c r="D141" s="101">
        <f t="shared" si="4"/>
        <v>5.6256008347908603E-3</v>
      </c>
      <c r="E141" s="88"/>
      <c r="F141" s="88"/>
      <c r="G141" s="88"/>
      <c r="H141" s="89"/>
      <c r="I141" s="89"/>
      <c r="K141" s="89">
        <f t="shared" si="5"/>
        <v>138</v>
      </c>
      <c r="L141" s="101">
        <v>2.53485560318812E-3</v>
      </c>
      <c r="P141" s="164"/>
    </row>
    <row r="142" spans="2:16" x14ac:dyDescent="0.2">
      <c r="B142" s="87">
        <v>43497</v>
      </c>
      <c r="C142" s="100">
        <v>4.87</v>
      </c>
      <c r="D142" s="101">
        <f t="shared" si="4"/>
        <v>1.17733467735261E-2</v>
      </c>
      <c r="E142" s="88"/>
      <c r="F142" s="88"/>
      <c r="G142" s="88"/>
      <c r="H142" s="89"/>
      <c r="I142" s="89"/>
      <c r="K142" s="89">
        <f t="shared" si="5"/>
        <v>139</v>
      </c>
      <c r="L142" s="101">
        <v>2.5745562386483398E-3</v>
      </c>
      <c r="P142" s="164"/>
    </row>
    <row r="143" spans="2:16" x14ac:dyDescent="0.2">
      <c r="B143" s="87">
        <v>43500</v>
      </c>
      <c r="C143" s="100">
        <v>4.9249999999999998</v>
      </c>
      <c r="D143" s="101">
        <f t="shared" si="4"/>
        <v>1.12303375295538E-2</v>
      </c>
      <c r="E143" s="88"/>
      <c r="F143" s="88"/>
      <c r="G143" s="88"/>
      <c r="H143" s="89"/>
      <c r="I143" s="89"/>
      <c r="K143" s="89">
        <f t="shared" si="5"/>
        <v>140</v>
      </c>
      <c r="L143" s="101">
        <v>2.6143805740708901E-3</v>
      </c>
      <c r="P143" s="164"/>
    </row>
    <row r="144" spans="2:16" x14ac:dyDescent="0.2">
      <c r="B144" s="87">
        <v>43501</v>
      </c>
      <c r="C144" s="100">
        <v>4.9260000000000002</v>
      </c>
      <c r="D144" s="101">
        <f t="shared" si="4"/>
        <v>2.0302507429406999E-4</v>
      </c>
      <c r="E144" s="88"/>
      <c r="F144" s="88"/>
      <c r="G144" s="88"/>
      <c r="H144" s="89"/>
      <c r="I144" s="89"/>
      <c r="K144" s="89">
        <f t="shared" si="5"/>
        <v>141</v>
      </c>
      <c r="L144" s="101">
        <v>2.7858155807345898E-3</v>
      </c>
      <c r="P144" s="164"/>
    </row>
    <row r="145" spans="2:16" x14ac:dyDescent="0.2">
      <c r="B145" s="87">
        <v>43502</v>
      </c>
      <c r="C145" s="100">
        <v>4.9260000000000002</v>
      </c>
      <c r="D145" s="101">
        <f t="shared" si="4"/>
        <v>0</v>
      </c>
      <c r="E145" s="88"/>
      <c r="F145" s="88"/>
      <c r="G145" s="88"/>
      <c r="H145" s="89"/>
      <c r="I145" s="89"/>
      <c r="K145" s="89">
        <f t="shared" si="5"/>
        <v>142</v>
      </c>
      <c r="L145" s="101">
        <v>2.97935951394185E-3</v>
      </c>
      <c r="P145" s="164"/>
    </row>
    <row r="146" spans="2:16" x14ac:dyDescent="0.2">
      <c r="B146" s="87">
        <v>43503</v>
      </c>
      <c r="C146" s="100">
        <v>4.9420000000000002</v>
      </c>
      <c r="D146" s="101">
        <f t="shared" si="4"/>
        <v>3.2428078680720898E-3</v>
      </c>
      <c r="E146" s="88"/>
      <c r="F146" s="88"/>
      <c r="G146" s="88"/>
      <c r="H146" s="89"/>
      <c r="I146" s="89"/>
      <c r="K146" s="89">
        <f t="shared" si="5"/>
        <v>143</v>
      </c>
      <c r="L146" s="101">
        <v>3.0335884585988401E-3</v>
      </c>
      <c r="P146" s="164"/>
    </row>
    <row r="147" spans="2:16" x14ac:dyDescent="0.2">
      <c r="B147" s="87">
        <v>43504</v>
      </c>
      <c r="C147" s="100">
        <v>4.95</v>
      </c>
      <c r="D147" s="101">
        <f t="shared" si="4"/>
        <v>1.61746901418066E-3</v>
      </c>
      <c r="E147" s="88"/>
      <c r="F147" s="88"/>
      <c r="G147" s="88"/>
      <c r="H147" s="89"/>
      <c r="I147" s="89"/>
      <c r="K147" s="89">
        <f t="shared" si="5"/>
        <v>144</v>
      </c>
      <c r="L147" s="101">
        <v>3.0509532462915699E-3</v>
      </c>
      <c r="P147" s="164"/>
    </row>
    <row r="148" spans="2:16" x14ac:dyDescent="0.2">
      <c r="B148" s="87">
        <v>43507</v>
      </c>
      <c r="C148" s="100">
        <v>4.9610000000000003</v>
      </c>
      <c r="D148" s="101">
        <f t="shared" si="4"/>
        <v>2.2197567383130299E-3</v>
      </c>
      <c r="E148" s="88"/>
      <c r="F148" s="88"/>
      <c r="G148" s="88"/>
      <c r="H148" s="89"/>
      <c r="I148" s="89"/>
      <c r="K148" s="89">
        <f t="shared" si="5"/>
        <v>145</v>
      </c>
      <c r="L148" s="101">
        <v>3.17292704057749E-3</v>
      </c>
      <c r="P148" s="164"/>
    </row>
    <row r="149" spans="2:16" x14ac:dyDescent="0.2">
      <c r="B149" s="87">
        <v>43508</v>
      </c>
      <c r="C149" s="100">
        <v>4.9659999999999993</v>
      </c>
      <c r="D149" s="101">
        <f t="shared" si="4"/>
        <v>1.0073537670628799E-3</v>
      </c>
      <c r="E149" s="88"/>
      <c r="F149" s="88"/>
      <c r="G149" s="88"/>
      <c r="H149" s="89"/>
      <c r="I149" s="89"/>
      <c r="K149" s="89">
        <f t="shared" si="5"/>
        <v>146</v>
      </c>
      <c r="L149" s="101">
        <v>3.2428078680720898E-3</v>
      </c>
      <c r="P149" s="164"/>
    </row>
    <row r="150" spans="2:16" x14ac:dyDescent="0.2">
      <c r="B150" s="87">
        <v>43509</v>
      </c>
      <c r="C150" s="100">
        <v>4.9790000000000001</v>
      </c>
      <c r="D150" s="101">
        <f t="shared" si="4"/>
        <v>2.6143805740708901E-3</v>
      </c>
      <c r="E150" s="88"/>
      <c r="F150" s="88"/>
      <c r="G150" s="88"/>
      <c r="H150" s="89"/>
      <c r="I150" s="89"/>
      <c r="K150" s="89">
        <f t="shared" si="5"/>
        <v>147</v>
      </c>
      <c r="L150" s="101">
        <v>3.2492176317051999E-3</v>
      </c>
      <c r="P150" s="164"/>
    </row>
    <row r="151" spans="2:16" x14ac:dyDescent="0.2">
      <c r="B151" s="87">
        <v>43510</v>
      </c>
      <c r="C151" s="100">
        <v>4.5590000000000002</v>
      </c>
      <c r="D151" s="101">
        <f t="shared" si="4"/>
        <v>-8.8125766428741301E-2</v>
      </c>
      <c r="E151" s="88"/>
      <c r="F151" s="88"/>
      <c r="G151" s="88"/>
      <c r="H151" s="89"/>
      <c r="I151" s="89"/>
      <c r="K151" s="89">
        <f t="shared" si="5"/>
        <v>148</v>
      </c>
      <c r="L151" s="101">
        <v>3.29779346912174E-3</v>
      </c>
      <c r="P151" s="164"/>
    </row>
    <row r="152" spans="2:16" x14ac:dyDescent="0.2">
      <c r="B152" s="87">
        <v>43511</v>
      </c>
      <c r="C152" s="100">
        <v>4.524</v>
      </c>
      <c r="D152" s="101">
        <f t="shared" si="4"/>
        <v>-7.7067429774303302E-3</v>
      </c>
      <c r="E152" s="88"/>
      <c r="F152" s="88"/>
      <c r="G152" s="88"/>
      <c r="H152" s="89"/>
      <c r="I152" s="89"/>
      <c r="K152" s="89">
        <f t="shared" si="5"/>
        <v>149</v>
      </c>
      <c r="L152" s="101">
        <v>3.3098913130269201E-3</v>
      </c>
      <c r="P152" s="164"/>
    </row>
    <row r="153" spans="2:16" x14ac:dyDescent="0.2">
      <c r="B153" s="87">
        <v>43515</v>
      </c>
      <c r="C153" s="100">
        <v>4.4829999999999997</v>
      </c>
      <c r="D153" s="101">
        <f t="shared" si="4"/>
        <v>-9.1040930805717096E-3</v>
      </c>
      <c r="E153" s="88"/>
      <c r="F153" s="88"/>
      <c r="G153" s="88"/>
      <c r="H153" s="89"/>
      <c r="I153" s="89"/>
      <c r="K153" s="89">
        <f t="shared" si="5"/>
        <v>150</v>
      </c>
      <c r="L153" s="101">
        <v>3.4835654649033698E-3</v>
      </c>
      <c r="P153" s="164"/>
    </row>
    <row r="154" spans="2:16" x14ac:dyDescent="0.2">
      <c r="B154" s="87">
        <v>43516</v>
      </c>
      <c r="C154" s="100">
        <v>4.51</v>
      </c>
      <c r="D154" s="101">
        <f t="shared" si="4"/>
        <v>6.0046883412846397E-3</v>
      </c>
      <c r="E154" s="88"/>
      <c r="F154" s="88"/>
      <c r="G154" s="88"/>
      <c r="H154" s="89"/>
      <c r="I154" s="89"/>
      <c r="K154" s="89">
        <f t="shared" si="5"/>
        <v>151</v>
      </c>
      <c r="L154" s="101">
        <v>3.4850830307997399E-3</v>
      </c>
      <c r="P154" s="164"/>
    </row>
    <row r="155" spans="2:16" x14ac:dyDescent="0.2">
      <c r="B155" s="87">
        <v>43517</v>
      </c>
      <c r="C155" s="100">
        <v>4.5860000000000003</v>
      </c>
      <c r="D155" s="101">
        <f t="shared" si="4"/>
        <v>1.6711030921125899E-2</v>
      </c>
      <c r="E155" s="88"/>
      <c r="F155" s="88"/>
      <c r="G155" s="88"/>
      <c r="H155" s="89"/>
      <c r="I155" s="89"/>
      <c r="K155" s="89">
        <f t="shared" si="5"/>
        <v>152</v>
      </c>
      <c r="L155" s="101">
        <v>3.51425586196543E-3</v>
      </c>
      <c r="P155" s="164"/>
    </row>
    <row r="156" spans="2:16" x14ac:dyDescent="0.2">
      <c r="B156" s="87">
        <v>43518</v>
      </c>
      <c r="C156" s="100">
        <v>4.5280000000000005</v>
      </c>
      <c r="D156" s="101">
        <f t="shared" si="4"/>
        <v>-1.2727843534830899E-2</v>
      </c>
      <c r="E156" s="88"/>
      <c r="F156" s="88"/>
      <c r="G156" s="88"/>
      <c r="H156" s="89"/>
      <c r="I156" s="89"/>
      <c r="K156" s="89">
        <f t="shared" si="5"/>
        <v>153</v>
      </c>
      <c r="L156" s="101">
        <v>3.6848421449190002E-3</v>
      </c>
      <c r="P156" s="164"/>
    </row>
    <row r="157" spans="2:16" x14ac:dyDescent="0.2">
      <c r="B157" s="87">
        <v>43521</v>
      </c>
      <c r="C157" s="100">
        <v>4.4939999999999998</v>
      </c>
      <c r="D157" s="101">
        <f t="shared" si="4"/>
        <v>-7.5371671377445501E-3</v>
      </c>
      <c r="E157" s="88"/>
      <c r="F157" s="88"/>
      <c r="G157" s="88"/>
      <c r="H157" s="89"/>
      <c r="I157" s="89"/>
      <c r="K157" s="89">
        <f t="shared" si="5"/>
        <v>154</v>
      </c>
      <c r="L157" s="101">
        <v>3.7146333547190499E-3</v>
      </c>
      <c r="P157" s="164"/>
    </row>
    <row r="158" spans="2:16" x14ac:dyDescent="0.2">
      <c r="B158" s="87">
        <v>43522</v>
      </c>
      <c r="C158" s="100">
        <v>4.4689999999999994</v>
      </c>
      <c r="D158" s="101">
        <f t="shared" si="4"/>
        <v>-5.5785038118230804E-3</v>
      </c>
      <c r="E158" s="88"/>
      <c r="F158" s="88"/>
      <c r="G158" s="88"/>
      <c r="H158" s="89"/>
      <c r="I158" s="89"/>
      <c r="K158" s="89">
        <f t="shared" si="5"/>
        <v>155</v>
      </c>
      <c r="L158" s="101">
        <v>3.76148247462307E-3</v>
      </c>
      <c r="P158" s="164"/>
    </row>
    <row r="159" spans="2:16" x14ac:dyDescent="0.2">
      <c r="B159" s="87">
        <v>43523</v>
      </c>
      <c r="C159" s="100">
        <v>4.4939999999999998</v>
      </c>
      <c r="D159" s="101">
        <f t="shared" si="4"/>
        <v>5.5785038118230101E-3</v>
      </c>
      <c r="E159" s="88"/>
      <c r="F159" s="88"/>
      <c r="G159" s="88"/>
      <c r="H159" s="89"/>
      <c r="I159" s="89"/>
      <c r="K159" s="89">
        <f t="shared" si="5"/>
        <v>156</v>
      </c>
      <c r="L159" s="101">
        <v>3.81718193280798E-3</v>
      </c>
      <c r="P159" s="164"/>
    </row>
    <row r="160" spans="2:16" x14ac:dyDescent="0.2">
      <c r="B160" s="87">
        <v>43524</v>
      </c>
      <c r="C160" s="100">
        <v>4.5340000000000007</v>
      </c>
      <c r="D160" s="101">
        <f t="shared" si="4"/>
        <v>8.8613783222000805E-3</v>
      </c>
      <c r="E160" s="88"/>
      <c r="F160" s="88"/>
      <c r="G160" s="88"/>
      <c r="H160" s="89"/>
      <c r="I160" s="89"/>
      <c r="K160" s="89">
        <f t="shared" si="5"/>
        <v>157</v>
      </c>
      <c r="L160" s="101">
        <v>3.9045602751367299E-3</v>
      </c>
      <c r="P160" s="164"/>
    </row>
    <row r="161" spans="2:16" x14ac:dyDescent="0.2">
      <c r="B161" s="87">
        <v>43525</v>
      </c>
      <c r="C161" s="100">
        <v>4.5380000000000003</v>
      </c>
      <c r="D161" s="101">
        <f t="shared" si="4"/>
        <v>8.8183427231262E-4</v>
      </c>
      <c r="E161" s="88"/>
      <c r="F161" s="88"/>
      <c r="G161" s="88"/>
      <c r="H161" s="89"/>
      <c r="I161" s="89"/>
      <c r="K161" s="89">
        <f t="shared" si="5"/>
        <v>158</v>
      </c>
      <c r="L161" s="101">
        <v>4.0201059166658504E-3</v>
      </c>
      <c r="P161" s="164"/>
    </row>
    <row r="162" spans="2:16" x14ac:dyDescent="0.2">
      <c r="B162" s="87">
        <v>43528</v>
      </c>
      <c r="C162" s="100">
        <v>4.5649999999999995</v>
      </c>
      <c r="D162" s="101">
        <f t="shared" si="4"/>
        <v>5.9321276892816098E-3</v>
      </c>
      <c r="E162" s="88"/>
      <c r="F162" s="88"/>
      <c r="G162" s="88"/>
      <c r="H162" s="89"/>
      <c r="I162" s="89"/>
      <c r="K162" s="89">
        <f t="shared" si="5"/>
        <v>159</v>
      </c>
      <c r="L162" s="101">
        <v>4.1317879808935101E-3</v>
      </c>
      <c r="P162" s="164"/>
    </row>
    <row r="163" spans="2:16" x14ac:dyDescent="0.2">
      <c r="B163" s="87">
        <v>43529</v>
      </c>
      <c r="C163" s="100">
        <v>4.5600000000000005</v>
      </c>
      <c r="D163" s="101">
        <f t="shared" si="4"/>
        <v>-1.0958905206368899E-3</v>
      </c>
      <c r="E163" s="88"/>
      <c r="F163" s="88"/>
      <c r="G163" s="88"/>
      <c r="H163" s="89"/>
      <c r="I163" s="89"/>
      <c r="K163" s="89">
        <f t="shared" si="5"/>
        <v>160</v>
      </c>
      <c r="L163" s="101">
        <v>4.2538964852600501E-3</v>
      </c>
      <c r="P163" s="164"/>
    </row>
    <row r="164" spans="2:16" x14ac:dyDescent="0.2">
      <c r="B164" s="87">
        <v>43530</v>
      </c>
      <c r="C164" s="100">
        <v>4.5449999999999999</v>
      </c>
      <c r="D164" s="101">
        <f t="shared" si="4"/>
        <v>-3.2948958968526498E-3</v>
      </c>
      <c r="E164" s="88"/>
      <c r="F164" s="88"/>
      <c r="G164" s="88"/>
      <c r="H164" s="89"/>
      <c r="I164" s="89"/>
      <c r="K164" s="89">
        <f t="shared" si="5"/>
        <v>161</v>
      </c>
      <c r="L164" s="101">
        <v>4.3243310630027999E-3</v>
      </c>
      <c r="P164" s="164"/>
    </row>
    <row r="165" spans="2:16" x14ac:dyDescent="0.2">
      <c r="B165" s="87">
        <v>43531</v>
      </c>
      <c r="C165" s="100">
        <v>4.5280000000000005</v>
      </c>
      <c r="D165" s="101">
        <f t="shared" si="4"/>
        <v>-3.7473867285601802E-3</v>
      </c>
      <c r="E165" s="88"/>
      <c r="F165" s="88"/>
      <c r="G165" s="88"/>
      <c r="H165" s="89"/>
      <c r="I165" s="89"/>
      <c r="K165" s="89">
        <f t="shared" si="5"/>
        <v>162</v>
      </c>
      <c r="L165" s="101">
        <v>4.7691397569023597E-3</v>
      </c>
      <c r="P165" s="164"/>
    </row>
    <row r="166" spans="2:16" x14ac:dyDescent="0.2">
      <c r="B166" s="87">
        <v>43532</v>
      </c>
      <c r="C166" s="100">
        <v>4.484</v>
      </c>
      <c r="D166" s="101">
        <f t="shared" si="4"/>
        <v>-9.7648356909684E-3</v>
      </c>
      <c r="E166" s="88"/>
      <c r="F166" s="88"/>
      <c r="G166" s="88"/>
      <c r="H166" s="89"/>
      <c r="I166" s="89"/>
      <c r="K166" s="89">
        <f t="shared" si="5"/>
        <v>163</v>
      </c>
      <c r="L166" s="101">
        <v>4.8641314048603404E-3</v>
      </c>
      <c r="P166" s="164"/>
    </row>
    <row r="167" spans="2:16" x14ac:dyDescent="0.2">
      <c r="B167" s="87">
        <v>43535</v>
      </c>
      <c r="C167" s="100">
        <v>4.6180000000000003</v>
      </c>
      <c r="D167" s="101">
        <f t="shared" si="4"/>
        <v>2.9446205722390199E-2</v>
      </c>
      <c r="E167" s="88"/>
      <c r="F167" s="88"/>
      <c r="G167" s="88"/>
      <c r="H167" s="89"/>
      <c r="I167" s="89"/>
      <c r="K167" s="89">
        <f t="shared" si="5"/>
        <v>164</v>
      </c>
      <c r="L167" s="101">
        <v>5.0663802767075801E-3</v>
      </c>
      <c r="P167" s="164"/>
    </row>
    <row r="168" spans="2:16" x14ac:dyDescent="0.2">
      <c r="B168" s="87">
        <v>43536</v>
      </c>
      <c r="C168" s="100">
        <v>4.6049999999999995</v>
      </c>
      <c r="D168" s="101">
        <f t="shared" si="4"/>
        <v>-2.8190412250335998E-3</v>
      </c>
      <c r="E168" s="88"/>
      <c r="F168" s="88"/>
      <c r="G168" s="88"/>
      <c r="H168" s="89"/>
      <c r="I168" s="89"/>
      <c r="K168" s="89">
        <f t="shared" si="5"/>
        <v>165</v>
      </c>
      <c r="L168" s="101">
        <v>5.1345128986466301E-3</v>
      </c>
      <c r="P168" s="164"/>
    </row>
    <row r="169" spans="2:16" x14ac:dyDescent="0.2">
      <c r="B169" s="87">
        <v>43537</v>
      </c>
      <c r="C169" s="100">
        <v>4.6219999999999999</v>
      </c>
      <c r="D169" s="101">
        <f t="shared" si="4"/>
        <v>3.6848421449190002E-3</v>
      </c>
      <c r="E169" s="88"/>
      <c r="F169" s="88"/>
      <c r="G169" s="88"/>
      <c r="H169" s="89"/>
      <c r="I169" s="89"/>
      <c r="K169" s="89">
        <f t="shared" si="5"/>
        <v>166</v>
      </c>
      <c r="L169" s="101">
        <v>5.2350658770034496E-3</v>
      </c>
      <c r="P169" s="164"/>
    </row>
    <row r="170" spans="2:16" x14ac:dyDescent="0.2">
      <c r="B170" s="87">
        <v>43538</v>
      </c>
      <c r="C170" s="100">
        <v>4.57</v>
      </c>
      <c r="D170" s="101">
        <f t="shared" si="4"/>
        <v>-1.1314306946075501E-2</v>
      </c>
      <c r="E170" s="88"/>
      <c r="F170" s="88"/>
      <c r="G170" s="88"/>
      <c r="H170" s="89"/>
      <c r="I170" s="89"/>
      <c r="K170" s="89">
        <f t="shared" si="5"/>
        <v>167</v>
      </c>
      <c r="L170" s="101">
        <v>5.2802722196183599E-3</v>
      </c>
      <c r="P170" s="164"/>
    </row>
    <row r="171" spans="2:16" x14ac:dyDescent="0.2">
      <c r="B171" s="87">
        <v>43539</v>
      </c>
      <c r="C171" s="100">
        <v>4.5299999999999994</v>
      </c>
      <c r="D171" s="101">
        <f t="shared" si="4"/>
        <v>-8.7912654111708798E-3</v>
      </c>
      <c r="E171" s="88"/>
      <c r="F171" s="88"/>
      <c r="G171" s="88"/>
      <c r="H171" s="89"/>
      <c r="I171" s="89"/>
      <c r="K171" s="89">
        <f t="shared" si="5"/>
        <v>168</v>
      </c>
      <c r="L171" s="101">
        <v>5.5472725993466901E-3</v>
      </c>
      <c r="P171" s="164"/>
    </row>
    <row r="172" spans="2:16" x14ac:dyDescent="0.2">
      <c r="B172" s="87">
        <v>43542</v>
      </c>
      <c r="C172" s="100">
        <v>4.5409999999999995</v>
      </c>
      <c r="D172" s="101">
        <f t="shared" si="4"/>
        <v>2.4253126208713702E-3</v>
      </c>
      <c r="E172" s="88"/>
      <c r="F172" s="88"/>
      <c r="G172" s="88"/>
      <c r="H172" s="89"/>
      <c r="I172" s="89"/>
      <c r="K172" s="89">
        <f t="shared" si="5"/>
        <v>169</v>
      </c>
      <c r="L172" s="101">
        <v>5.5785038118230101E-3</v>
      </c>
      <c r="P172" s="164"/>
    </row>
    <row r="173" spans="2:16" x14ac:dyDescent="0.2">
      <c r="B173" s="87">
        <v>43543</v>
      </c>
      <c r="C173" s="100">
        <v>4.556</v>
      </c>
      <c r="D173" s="101">
        <f t="shared" si="4"/>
        <v>3.29779346912174E-3</v>
      </c>
      <c r="E173" s="88"/>
      <c r="F173" s="88"/>
      <c r="G173" s="88"/>
      <c r="H173" s="89"/>
      <c r="I173" s="89"/>
      <c r="K173" s="89">
        <f t="shared" si="5"/>
        <v>170</v>
      </c>
      <c r="L173" s="101">
        <v>5.6256008347908603E-3</v>
      </c>
      <c r="P173" s="164"/>
    </row>
    <row r="174" spans="2:16" x14ac:dyDescent="0.2">
      <c r="B174" s="87">
        <v>43544</v>
      </c>
      <c r="C174" s="100">
        <v>4.5529999999999999</v>
      </c>
      <c r="D174" s="101">
        <f t="shared" si="4"/>
        <v>-6.5868923229073998E-4</v>
      </c>
      <c r="E174" s="88"/>
      <c r="F174" s="88"/>
      <c r="G174" s="88"/>
      <c r="H174" s="89"/>
      <c r="I174" s="89"/>
      <c r="K174" s="89">
        <f t="shared" si="5"/>
        <v>171</v>
      </c>
      <c r="L174" s="101">
        <v>5.7197486727869097E-3</v>
      </c>
      <c r="P174" s="164"/>
    </row>
    <row r="175" spans="2:16" x14ac:dyDescent="0.2">
      <c r="B175" s="87">
        <v>43545</v>
      </c>
      <c r="C175" s="100">
        <v>4.5510000000000002</v>
      </c>
      <c r="D175" s="101">
        <f t="shared" si="4"/>
        <v>-4.3936731814008E-4</v>
      </c>
      <c r="E175" s="88"/>
      <c r="F175" s="88"/>
      <c r="G175" s="88"/>
      <c r="H175" s="89"/>
      <c r="I175" s="89"/>
      <c r="K175" s="89">
        <f t="shared" si="5"/>
        <v>172</v>
      </c>
      <c r="L175" s="101">
        <v>5.9321276892816098E-3</v>
      </c>
      <c r="P175" s="164"/>
    </row>
    <row r="176" spans="2:16" x14ac:dyDescent="0.2">
      <c r="B176" s="87">
        <v>43546</v>
      </c>
      <c r="C176" s="100">
        <v>4.593</v>
      </c>
      <c r="D176" s="101">
        <f t="shared" si="4"/>
        <v>9.18641630915157E-3</v>
      </c>
      <c r="E176" s="88"/>
      <c r="F176" s="88"/>
      <c r="G176" s="88"/>
      <c r="H176" s="89"/>
      <c r="I176" s="89"/>
      <c r="K176" s="89">
        <f t="shared" si="5"/>
        <v>173</v>
      </c>
      <c r="L176" s="101">
        <v>5.9335212445519097E-3</v>
      </c>
      <c r="P176" s="164"/>
    </row>
    <row r="177" spans="2:16" x14ac:dyDescent="0.2">
      <c r="B177" s="87">
        <v>43549</v>
      </c>
      <c r="C177" s="100">
        <v>4.6029999999999998</v>
      </c>
      <c r="D177" s="101">
        <f t="shared" si="4"/>
        <v>2.17485949144794E-3</v>
      </c>
      <c r="E177" s="88"/>
      <c r="F177" s="88"/>
      <c r="G177" s="88"/>
      <c r="H177" s="89"/>
      <c r="I177" s="89"/>
      <c r="K177" s="89">
        <f t="shared" si="5"/>
        <v>174</v>
      </c>
      <c r="L177" s="101">
        <v>5.9931686234547298E-3</v>
      </c>
      <c r="P177" s="164"/>
    </row>
    <row r="178" spans="2:16" x14ac:dyDescent="0.2">
      <c r="B178" s="87">
        <v>43550</v>
      </c>
      <c r="C178" s="100">
        <v>4.6639999999999997</v>
      </c>
      <c r="D178" s="101">
        <f t="shared" si="4"/>
        <v>1.31651842130868E-2</v>
      </c>
      <c r="E178" s="88"/>
      <c r="F178" s="88"/>
      <c r="G178" s="88"/>
      <c r="H178" s="89"/>
      <c r="I178" s="89"/>
      <c r="K178" s="89">
        <f t="shared" si="5"/>
        <v>175</v>
      </c>
      <c r="L178" s="101">
        <v>6.0046883412846397E-3</v>
      </c>
      <c r="P178" s="164"/>
    </row>
    <row r="179" spans="2:16" x14ac:dyDescent="0.2">
      <c r="B179" s="87">
        <v>43551</v>
      </c>
      <c r="C179" s="100">
        <v>4.6609999999999996</v>
      </c>
      <c r="D179" s="101">
        <f t="shared" si="4"/>
        <v>-6.4343165758735997E-4</v>
      </c>
      <c r="E179" s="88"/>
      <c r="F179" s="88"/>
      <c r="G179" s="88"/>
      <c r="H179" s="89"/>
      <c r="I179" s="89"/>
      <c r="K179" s="89">
        <f t="shared" si="5"/>
        <v>176</v>
      </c>
      <c r="L179" s="101">
        <v>6.0211894062299704E-3</v>
      </c>
      <c r="P179" s="164"/>
    </row>
    <row r="180" spans="2:16" x14ac:dyDescent="0.2">
      <c r="B180" s="87">
        <v>43552</v>
      </c>
      <c r="C180" s="100">
        <v>4.6579999999999995</v>
      </c>
      <c r="D180" s="101">
        <f t="shared" si="4"/>
        <v>-6.4384592845464995E-4</v>
      </c>
      <c r="E180" s="88"/>
      <c r="F180" s="88"/>
      <c r="G180" s="88"/>
      <c r="H180" s="89"/>
      <c r="I180" s="89"/>
      <c r="K180" s="89">
        <f t="shared" si="5"/>
        <v>177</v>
      </c>
      <c r="L180" s="101">
        <v>6.0384052358717199E-3</v>
      </c>
      <c r="P180" s="164"/>
    </row>
    <row r="181" spans="2:16" x14ac:dyDescent="0.2">
      <c r="B181" s="87">
        <v>43553</v>
      </c>
      <c r="C181" s="100">
        <v>4.6859999999999999</v>
      </c>
      <c r="D181" s="101">
        <f t="shared" si="4"/>
        <v>5.9931686234547298E-3</v>
      </c>
      <c r="E181" s="88"/>
      <c r="F181" s="88"/>
      <c r="G181" s="88"/>
      <c r="H181" s="89"/>
      <c r="I181" s="89"/>
      <c r="K181" s="89">
        <f t="shared" si="5"/>
        <v>178</v>
      </c>
      <c r="L181" s="101">
        <v>6.0741227449606196E-3</v>
      </c>
      <c r="P181" s="164"/>
    </row>
    <row r="182" spans="2:16" x14ac:dyDescent="0.2">
      <c r="B182" s="87">
        <v>43556</v>
      </c>
      <c r="C182" s="100">
        <v>4.6719999999999997</v>
      </c>
      <c r="D182" s="101">
        <f t="shared" si="4"/>
        <v>-2.9920945596780802E-3</v>
      </c>
      <c r="E182" s="88"/>
      <c r="F182" s="88"/>
      <c r="G182" s="88"/>
      <c r="H182" s="89"/>
      <c r="I182" s="89"/>
      <c r="K182" s="89">
        <f t="shared" si="5"/>
        <v>179</v>
      </c>
      <c r="L182" s="101">
        <v>6.4753086173064203E-3</v>
      </c>
      <c r="P182" s="164"/>
    </row>
    <row r="183" spans="2:16" x14ac:dyDescent="0.2">
      <c r="B183" s="87">
        <v>43557</v>
      </c>
      <c r="C183" s="100">
        <v>4.657</v>
      </c>
      <c r="D183" s="101">
        <f t="shared" si="4"/>
        <v>-3.2157815256856799E-3</v>
      </c>
      <c r="E183" s="88"/>
      <c r="F183" s="88"/>
      <c r="G183" s="88"/>
      <c r="H183" s="89"/>
      <c r="I183" s="89"/>
      <c r="K183" s="89">
        <f t="shared" si="5"/>
        <v>180</v>
      </c>
      <c r="L183" s="101">
        <v>6.7540979837995598E-3</v>
      </c>
      <c r="P183" s="164"/>
    </row>
    <row r="184" spans="2:16" x14ac:dyDescent="0.2">
      <c r="B184" s="87">
        <v>43558</v>
      </c>
      <c r="C184" s="100">
        <v>4.6180000000000003</v>
      </c>
      <c r="D184" s="101">
        <f t="shared" si="4"/>
        <v>-8.4097530679365096E-3</v>
      </c>
      <c r="E184" s="88"/>
      <c r="F184" s="88"/>
      <c r="G184" s="88"/>
      <c r="H184" s="89"/>
      <c r="I184" s="89"/>
      <c r="K184" s="89">
        <f t="shared" si="5"/>
        <v>181</v>
      </c>
      <c r="L184" s="101">
        <v>6.7964425964144003E-3</v>
      </c>
      <c r="P184" s="164"/>
    </row>
    <row r="185" spans="2:16" x14ac:dyDescent="0.2">
      <c r="B185" s="87">
        <v>43559</v>
      </c>
      <c r="C185" s="100">
        <v>4.6479999999999997</v>
      </c>
      <c r="D185" s="101">
        <f t="shared" si="4"/>
        <v>6.4753086173064203E-3</v>
      </c>
      <c r="E185" s="88"/>
      <c r="F185" s="88"/>
      <c r="G185" s="88"/>
      <c r="H185" s="89"/>
      <c r="I185" s="89"/>
      <c r="K185" s="89">
        <f t="shared" si="5"/>
        <v>182</v>
      </c>
      <c r="L185" s="101">
        <v>6.8631678358098301E-3</v>
      </c>
      <c r="P185" s="164"/>
    </row>
    <row r="186" spans="2:16" x14ac:dyDescent="0.2">
      <c r="B186" s="87">
        <v>43560</v>
      </c>
      <c r="C186" s="100">
        <v>4.6470000000000002</v>
      </c>
      <c r="D186" s="101">
        <f t="shared" si="4"/>
        <v>-2.1516944676867999E-4</v>
      </c>
      <c r="E186" s="88"/>
      <c r="F186" s="88"/>
      <c r="G186" s="88"/>
      <c r="H186" s="89"/>
      <c r="I186" s="89"/>
      <c r="K186" s="89">
        <f t="shared" si="5"/>
        <v>183</v>
      </c>
      <c r="L186" s="101">
        <v>6.8728792877620496E-3</v>
      </c>
      <c r="P186" s="164"/>
    </row>
    <row r="187" spans="2:16" x14ac:dyDescent="0.2">
      <c r="B187" s="87">
        <v>43563</v>
      </c>
      <c r="C187" s="100">
        <v>4.6549999999999994</v>
      </c>
      <c r="D187" s="101">
        <f t="shared" si="4"/>
        <v>1.72006062618892E-3</v>
      </c>
      <c r="E187" s="88"/>
      <c r="F187" s="88"/>
      <c r="G187" s="88"/>
      <c r="H187" s="89"/>
      <c r="I187" s="89"/>
      <c r="K187" s="89">
        <f t="shared" si="5"/>
        <v>184</v>
      </c>
      <c r="L187" s="101">
        <v>6.9055086669613996E-3</v>
      </c>
      <c r="P187" s="164"/>
    </row>
    <row r="188" spans="2:16" x14ac:dyDescent="0.2">
      <c r="B188" s="87">
        <v>43564</v>
      </c>
      <c r="C188" s="100">
        <v>4.6669999999999998</v>
      </c>
      <c r="D188" s="101">
        <f t="shared" si="4"/>
        <v>2.5745562386483398E-3</v>
      </c>
      <c r="E188" s="88"/>
      <c r="F188" s="88"/>
      <c r="G188" s="88"/>
      <c r="H188" s="89"/>
      <c r="I188" s="89"/>
      <c r="K188" s="89">
        <f t="shared" si="5"/>
        <v>185</v>
      </c>
      <c r="L188" s="101">
        <v>7.0041674435706502E-3</v>
      </c>
      <c r="P188" s="164"/>
    </row>
    <row r="189" spans="2:16" x14ac:dyDescent="0.2">
      <c r="B189" s="87">
        <v>43565</v>
      </c>
      <c r="C189" s="100">
        <v>4.6639999999999997</v>
      </c>
      <c r="D189" s="101">
        <f t="shared" si="4"/>
        <v>-6.4301791948728998E-4</v>
      </c>
      <c r="E189" s="88"/>
      <c r="F189" s="88"/>
      <c r="G189" s="88"/>
      <c r="H189" s="89"/>
      <c r="I189" s="89"/>
      <c r="K189" s="89">
        <f t="shared" si="5"/>
        <v>186</v>
      </c>
      <c r="L189" s="101">
        <v>7.0700223795764298E-3</v>
      </c>
      <c r="P189" s="164"/>
    </row>
    <row r="190" spans="2:16" x14ac:dyDescent="0.2">
      <c r="B190" s="87">
        <v>43566</v>
      </c>
      <c r="C190" s="100">
        <v>4.6710000000000003</v>
      </c>
      <c r="D190" s="101">
        <f t="shared" si="4"/>
        <v>1.4997324717797801E-3</v>
      </c>
      <c r="E190" s="88"/>
      <c r="F190" s="88"/>
      <c r="G190" s="88"/>
      <c r="H190" s="89"/>
      <c r="I190" s="89"/>
      <c r="K190" s="89">
        <f t="shared" si="5"/>
        <v>187</v>
      </c>
      <c r="L190" s="101">
        <v>7.1498517129072996E-3</v>
      </c>
      <c r="P190" s="164"/>
    </row>
    <row r="191" spans="2:16" x14ac:dyDescent="0.2">
      <c r="B191" s="87">
        <v>43567</v>
      </c>
      <c r="C191" s="100">
        <v>4.6740000000000004</v>
      </c>
      <c r="D191" s="101">
        <f t="shared" si="4"/>
        <v>6.4205459669531997E-4</v>
      </c>
      <c r="E191" s="88"/>
      <c r="F191" s="88"/>
      <c r="G191" s="88"/>
      <c r="H191" s="89"/>
      <c r="I191" s="89"/>
      <c r="K191" s="89">
        <f t="shared" si="5"/>
        <v>188</v>
      </c>
      <c r="L191" s="101">
        <v>7.1518619328658304E-3</v>
      </c>
      <c r="P191" s="164"/>
    </row>
    <row r="192" spans="2:16" x14ac:dyDescent="0.2">
      <c r="B192" s="87">
        <v>43570</v>
      </c>
      <c r="C192" s="100">
        <v>4.7</v>
      </c>
      <c r="D192" s="101">
        <f t="shared" si="4"/>
        <v>5.5472725993466901E-3</v>
      </c>
      <c r="E192" s="88"/>
      <c r="F192" s="88"/>
      <c r="G192" s="88"/>
      <c r="H192" s="89"/>
      <c r="I192" s="89"/>
      <c r="K192" s="89">
        <f t="shared" si="5"/>
        <v>189</v>
      </c>
      <c r="L192" s="101">
        <v>7.3373567258271204E-3</v>
      </c>
      <c r="P192" s="164"/>
    </row>
    <row r="193" spans="2:16" x14ac:dyDescent="0.2">
      <c r="B193" s="87">
        <v>43571</v>
      </c>
      <c r="C193" s="100">
        <v>4.6950000000000003</v>
      </c>
      <c r="D193" s="101">
        <f t="shared" si="4"/>
        <v>-1.0643960557866999E-3</v>
      </c>
      <c r="E193" s="88"/>
      <c r="F193" s="88"/>
      <c r="G193" s="88"/>
      <c r="H193" s="89"/>
      <c r="I193" s="89"/>
      <c r="K193" s="89">
        <f t="shared" si="5"/>
        <v>190</v>
      </c>
      <c r="L193" s="101">
        <v>7.4090554659291003E-3</v>
      </c>
      <c r="P193" s="164"/>
    </row>
    <row r="194" spans="2:16" x14ac:dyDescent="0.2">
      <c r="B194" s="87">
        <v>43572</v>
      </c>
      <c r="C194" s="100">
        <v>4.7279999999999998</v>
      </c>
      <c r="D194" s="101">
        <f t="shared" si="4"/>
        <v>7.0041674435706502E-3</v>
      </c>
      <c r="E194" s="88"/>
      <c r="F194" s="88"/>
      <c r="G194" s="88"/>
      <c r="H194" s="89"/>
      <c r="I194" s="89"/>
      <c r="K194" s="89">
        <f t="shared" si="5"/>
        <v>191</v>
      </c>
      <c r="L194" s="101">
        <v>7.9493382407837196E-3</v>
      </c>
      <c r="P194" s="164"/>
    </row>
    <row r="195" spans="2:16" x14ac:dyDescent="0.2">
      <c r="B195" s="87">
        <v>43577</v>
      </c>
      <c r="C195" s="100">
        <v>4.74</v>
      </c>
      <c r="D195" s="101">
        <f t="shared" si="4"/>
        <v>2.53485560318812E-3</v>
      </c>
      <c r="E195" s="88"/>
      <c r="F195" s="88"/>
      <c r="G195" s="88"/>
      <c r="H195" s="89"/>
      <c r="I195" s="89"/>
      <c r="K195" s="89">
        <f t="shared" si="5"/>
        <v>192</v>
      </c>
      <c r="L195" s="101">
        <v>8.1004898189979795E-3</v>
      </c>
      <c r="P195" s="164"/>
    </row>
    <row r="196" spans="2:16" x14ac:dyDescent="0.2">
      <c r="B196" s="87">
        <v>43578</v>
      </c>
      <c r="C196" s="100">
        <v>4.8209999999999997</v>
      </c>
      <c r="D196" s="101">
        <f t="shared" si="4"/>
        <v>1.6944239716500002E-2</v>
      </c>
      <c r="E196" s="88"/>
      <c r="F196" s="88"/>
      <c r="G196" s="88"/>
      <c r="H196" s="89"/>
      <c r="I196" s="89"/>
      <c r="K196" s="89">
        <f t="shared" si="5"/>
        <v>193</v>
      </c>
      <c r="L196" s="101">
        <v>8.1007558478456108E-3</v>
      </c>
      <c r="P196" s="164"/>
    </row>
    <row r="197" spans="2:16" x14ac:dyDescent="0.2">
      <c r="B197" s="87">
        <v>43579</v>
      </c>
      <c r="C197" s="100">
        <v>4.798</v>
      </c>
      <c r="D197" s="101">
        <f t="shared" si="4"/>
        <v>-4.7822110059823203E-3</v>
      </c>
      <c r="E197" s="88"/>
      <c r="F197" s="88"/>
      <c r="G197" s="88"/>
      <c r="H197" s="89"/>
      <c r="I197" s="89"/>
      <c r="K197" s="89">
        <f t="shared" si="5"/>
        <v>194</v>
      </c>
      <c r="L197" s="101">
        <v>8.1879362853656597E-3</v>
      </c>
      <c r="P197" s="164"/>
    </row>
    <row r="198" spans="2:16" x14ac:dyDescent="0.2">
      <c r="B198" s="87">
        <v>43580</v>
      </c>
      <c r="C198" s="100">
        <v>4.7840000000000007</v>
      </c>
      <c r="D198" s="101">
        <f t="shared" ref="D198:D245" si="6">ROUND(LN(C198/C197),$D$1)</f>
        <v>-2.9221477691720502E-3</v>
      </c>
      <c r="E198" s="88"/>
      <c r="F198" s="88"/>
      <c r="G198" s="88"/>
      <c r="H198" s="89"/>
      <c r="I198" s="89"/>
      <c r="K198" s="89">
        <f t="shared" ref="K198:K244" si="7">K197+1</f>
        <v>195</v>
      </c>
      <c r="L198" s="101">
        <v>8.4480086534144596E-3</v>
      </c>
      <c r="P198" s="164"/>
    </row>
    <row r="199" spans="2:16" x14ac:dyDescent="0.2">
      <c r="B199" s="87">
        <v>43581</v>
      </c>
      <c r="C199" s="100">
        <v>4.8259999999999996</v>
      </c>
      <c r="D199" s="101">
        <f t="shared" si="6"/>
        <v>8.7409505545090697E-3</v>
      </c>
      <c r="E199" s="88"/>
      <c r="F199" s="88"/>
      <c r="G199" s="88"/>
      <c r="H199" s="89"/>
      <c r="I199" s="89"/>
      <c r="K199" s="89">
        <f t="shared" si="7"/>
        <v>196</v>
      </c>
      <c r="L199" s="101">
        <v>8.5573753138550399E-3</v>
      </c>
      <c r="P199" s="164"/>
    </row>
    <row r="200" spans="2:16" x14ac:dyDescent="0.2">
      <c r="B200" s="87">
        <v>43584</v>
      </c>
      <c r="C200" s="100">
        <v>4.8420000000000005</v>
      </c>
      <c r="D200" s="101">
        <f t="shared" si="6"/>
        <v>3.3098913130269201E-3</v>
      </c>
      <c r="E200" s="88"/>
      <c r="F200" s="88"/>
      <c r="G200" s="88"/>
      <c r="H200" s="89"/>
      <c r="I200" s="89"/>
      <c r="K200" s="89">
        <f t="shared" si="7"/>
        <v>197</v>
      </c>
      <c r="L200" s="101">
        <v>8.5890098565436501E-3</v>
      </c>
      <c r="P200" s="164"/>
    </row>
    <row r="201" spans="2:16" x14ac:dyDescent="0.2">
      <c r="B201" s="87">
        <v>43585</v>
      </c>
      <c r="C201" s="100">
        <v>4.9060000000000006</v>
      </c>
      <c r="D201" s="101">
        <f t="shared" si="6"/>
        <v>1.3131087320430701E-2</v>
      </c>
      <c r="E201" s="88"/>
      <c r="F201" s="88"/>
      <c r="G201" s="88"/>
      <c r="H201" s="89"/>
      <c r="I201" s="89"/>
      <c r="K201" s="89">
        <f t="shared" si="7"/>
        <v>198</v>
      </c>
      <c r="L201" s="101">
        <v>8.6078001209029999E-3</v>
      </c>
      <c r="P201" s="164"/>
    </row>
    <row r="202" spans="2:16" x14ac:dyDescent="0.2">
      <c r="B202" s="87">
        <v>43587</v>
      </c>
      <c r="C202" s="100">
        <v>4.8390000000000004</v>
      </c>
      <c r="D202" s="101">
        <f t="shared" si="6"/>
        <v>-1.37508580251161E-2</v>
      </c>
      <c r="E202" s="88"/>
      <c r="F202" s="88"/>
      <c r="G202" s="88"/>
      <c r="H202" s="89"/>
      <c r="I202" s="89"/>
      <c r="K202" s="89">
        <f t="shared" si="7"/>
        <v>199</v>
      </c>
      <c r="L202" s="101">
        <v>8.6151728200956606E-3</v>
      </c>
      <c r="P202" s="164"/>
    </row>
    <row r="203" spans="2:16" x14ac:dyDescent="0.2">
      <c r="B203" s="87">
        <v>43588</v>
      </c>
      <c r="C203" s="100">
        <v>4.8719999999999999</v>
      </c>
      <c r="D203" s="101">
        <f t="shared" si="6"/>
        <v>6.7964425964144003E-3</v>
      </c>
      <c r="E203" s="88"/>
      <c r="F203" s="88"/>
      <c r="G203" s="88"/>
      <c r="H203" s="89"/>
      <c r="I203" s="89"/>
      <c r="K203" s="89">
        <f t="shared" si="7"/>
        <v>200</v>
      </c>
      <c r="L203" s="101">
        <v>8.7409505545090697E-3</v>
      </c>
      <c r="P203" s="164"/>
    </row>
    <row r="204" spans="2:16" x14ac:dyDescent="0.2">
      <c r="B204" s="87">
        <v>43591</v>
      </c>
      <c r="C204" s="100">
        <v>4.8469999999999995</v>
      </c>
      <c r="D204" s="101">
        <f t="shared" si="6"/>
        <v>-5.144573544357E-3</v>
      </c>
      <c r="E204" s="88"/>
      <c r="F204" s="88"/>
      <c r="G204" s="88"/>
      <c r="H204" s="89"/>
      <c r="I204" s="89"/>
      <c r="K204" s="89">
        <f t="shared" si="7"/>
        <v>201</v>
      </c>
      <c r="L204" s="101">
        <v>8.8613783222000805E-3</v>
      </c>
      <c r="P204" s="164"/>
    </row>
    <row r="205" spans="2:16" x14ac:dyDescent="0.2">
      <c r="B205" s="87">
        <v>43592</v>
      </c>
      <c r="C205" s="100">
        <v>4.8</v>
      </c>
      <c r="D205" s="101">
        <f t="shared" si="6"/>
        <v>-9.7440389493936002E-3</v>
      </c>
      <c r="E205" s="88"/>
      <c r="F205" s="88"/>
      <c r="G205" s="88"/>
      <c r="H205" s="89"/>
      <c r="I205" s="89"/>
      <c r="K205" s="89">
        <f t="shared" si="7"/>
        <v>202</v>
      </c>
      <c r="L205" s="101">
        <v>8.8683013647234896E-3</v>
      </c>
      <c r="P205" s="164"/>
    </row>
    <row r="206" spans="2:16" x14ac:dyDescent="0.2">
      <c r="B206" s="87">
        <v>43593</v>
      </c>
      <c r="C206" s="100">
        <v>4.7850000000000001</v>
      </c>
      <c r="D206" s="101">
        <f t="shared" si="6"/>
        <v>-3.1298930089275899E-3</v>
      </c>
      <c r="E206" s="88"/>
      <c r="F206" s="88"/>
      <c r="G206" s="88"/>
      <c r="H206" s="89"/>
      <c r="I206" s="89"/>
      <c r="K206" s="89">
        <f t="shared" si="7"/>
        <v>203</v>
      </c>
      <c r="L206" s="101">
        <v>9.18641630915157E-3</v>
      </c>
      <c r="P206" s="164"/>
    </row>
    <row r="207" spans="2:16" x14ac:dyDescent="0.2">
      <c r="B207" s="87">
        <v>43594</v>
      </c>
      <c r="C207" s="100">
        <v>4.74</v>
      </c>
      <c r="D207" s="101">
        <f t="shared" si="6"/>
        <v>-9.4488891979323999E-3</v>
      </c>
      <c r="E207" s="88"/>
      <c r="F207" s="88"/>
      <c r="G207" s="88"/>
      <c r="H207" s="89"/>
      <c r="I207" s="89"/>
      <c r="K207" s="89">
        <f t="shared" si="7"/>
        <v>204</v>
      </c>
      <c r="L207" s="101">
        <v>9.4340322333587093E-3</v>
      </c>
      <c r="P207" s="164"/>
    </row>
    <row r="208" spans="2:16" x14ac:dyDescent="0.2">
      <c r="B208" s="87">
        <v>43598</v>
      </c>
      <c r="C208" s="100">
        <v>4.8049999999999997</v>
      </c>
      <c r="D208" s="101">
        <f t="shared" si="6"/>
        <v>1.36199067152707E-2</v>
      </c>
      <c r="E208" s="88"/>
      <c r="F208" s="88"/>
      <c r="G208" s="88"/>
      <c r="H208" s="89"/>
      <c r="I208" s="89"/>
      <c r="K208" s="89">
        <f t="shared" si="7"/>
        <v>205</v>
      </c>
      <c r="L208" s="101">
        <v>9.6578537791963594E-3</v>
      </c>
      <c r="P208" s="164"/>
    </row>
    <row r="209" spans="2:16" x14ac:dyDescent="0.2">
      <c r="B209" s="87">
        <v>43599</v>
      </c>
      <c r="C209" s="100">
        <v>4.8689999999999998</v>
      </c>
      <c r="D209" s="101">
        <f t="shared" si="6"/>
        <v>1.3231534778307999E-2</v>
      </c>
      <c r="E209" s="88"/>
      <c r="F209" s="88"/>
      <c r="G209" s="88"/>
      <c r="H209" s="89"/>
      <c r="I209" s="89"/>
      <c r="K209" s="89">
        <f t="shared" si="7"/>
        <v>206</v>
      </c>
      <c r="L209" s="101">
        <v>1.0013366593437E-2</v>
      </c>
      <c r="P209" s="164"/>
    </row>
    <row r="210" spans="2:16" x14ac:dyDescent="0.2">
      <c r="B210" s="87">
        <v>43600</v>
      </c>
      <c r="C210" s="100">
        <v>4.9180000000000001</v>
      </c>
      <c r="D210" s="101">
        <f t="shared" si="6"/>
        <v>1.0013366593437E-2</v>
      </c>
      <c r="E210" s="88"/>
      <c r="F210" s="88"/>
      <c r="G210" s="88"/>
      <c r="H210" s="89"/>
      <c r="I210" s="89"/>
      <c r="K210" s="89">
        <f t="shared" si="7"/>
        <v>207</v>
      </c>
      <c r="L210" s="101">
        <v>1.0179240988708101E-2</v>
      </c>
      <c r="P210" s="164"/>
    </row>
    <row r="211" spans="2:16" x14ac:dyDescent="0.2">
      <c r="B211" s="87">
        <v>43601</v>
      </c>
      <c r="C211" s="100">
        <v>4.9580000000000002</v>
      </c>
      <c r="D211" s="101">
        <f t="shared" si="6"/>
        <v>8.1004898189979795E-3</v>
      </c>
      <c r="E211" s="88"/>
      <c r="F211" s="88"/>
      <c r="G211" s="88"/>
      <c r="H211" s="89"/>
      <c r="I211" s="89"/>
      <c r="K211" s="89">
        <f t="shared" si="7"/>
        <v>208</v>
      </c>
      <c r="L211" s="101">
        <v>1.0507977598414899E-2</v>
      </c>
      <c r="P211" s="164"/>
    </row>
    <row r="212" spans="2:16" x14ac:dyDescent="0.2">
      <c r="B212" s="87">
        <v>43602</v>
      </c>
      <c r="C212" s="100">
        <v>4.92</v>
      </c>
      <c r="D212" s="101">
        <f t="shared" si="6"/>
        <v>-7.6939031087820998E-3</v>
      </c>
      <c r="E212" s="88"/>
      <c r="F212" s="88"/>
      <c r="G212" s="88"/>
      <c r="H212" s="89"/>
      <c r="I212" s="89"/>
      <c r="K212" s="89">
        <f t="shared" si="7"/>
        <v>209</v>
      </c>
      <c r="L212" s="101">
        <v>1.0679298418765E-2</v>
      </c>
      <c r="P212" s="164"/>
    </row>
    <row r="213" spans="2:16" x14ac:dyDescent="0.2">
      <c r="B213" s="87">
        <v>43605</v>
      </c>
      <c r="C213" s="100">
        <v>4.8849999999999998</v>
      </c>
      <c r="D213" s="101">
        <f t="shared" si="6"/>
        <v>-7.1392450094707599E-3</v>
      </c>
      <c r="E213" s="88"/>
      <c r="F213" s="88"/>
      <c r="G213" s="88"/>
      <c r="H213" s="89"/>
      <c r="I213" s="89"/>
      <c r="K213" s="89">
        <f t="shared" si="7"/>
        <v>210</v>
      </c>
      <c r="L213" s="101">
        <v>1.1225364087195201E-2</v>
      </c>
      <c r="P213" s="164"/>
    </row>
    <row r="214" spans="2:16" x14ac:dyDescent="0.2">
      <c r="B214" s="87">
        <v>43606</v>
      </c>
      <c r="C214" s="100">
        <v>4.8600000000000003</v>
      </c>
      <c r="D214" s="101">
        <f t="shared" si="6"/>
        <v>-5.1308475823435701E-3</v>
      </c>
      <c r="E214" s="88"/>
      <c r="F214" s="88"/>
      <c r="G214" s="88"/>
      <c r="H214" s="89"/>
      <c r="I214" s="89"/>
      <c r="K214" s="89">
        <f t="shared" si="7"/>
        <v>211</v>
      </c>
      <c r="L214" s="101">
        <v>1.12303375295538E-2</v>
      </c>
      <c r="P214" s="164"/>
    </row>
    <row r="215" spans="2:16" x14ac:dyDescent="0.2">
      <c r="B215" s="87">
        <v>43607</v>
      </c>
      <c r="C215" s="100">
        <v>4.9649999999999999</v>
      </c>
      <c r="D215" s="101">
        <f t="shared" si="6"/>
        <v>2.13748595847334E-2</v>
      </c>
      <c r="E215" s="88"/>
      <c r="F215" s="88"/>
      <c r="G215" s="88"/>
      <c r="H215" s="89"/>
      <c r="I215" s="89"/>
      <c r="K215" s="89">
        <f t="shared" si="7"/>
        <v>212</v>
      </c>
      <c r="L215" s="101">
        <v>1.14596524426861E-2</v>
      </c>
      <c r="P215" s="164"/>
    </row>
    <row r="216" spans="2:16" x14ac:dyDescent="0.2">
      <c r="B216" s="87">
        <v>43608</v>
      </c>
      <c r="C216" s="100">
        <v>4.9850000000000003</v>
      </c>
      <c r="D216" s="101">
        <f t="shared" si="6"/>
        <v>4.0201059166658504E-3</v>
      </c>
      <c r="E216" s="88"/>
      <c r="F216" s="88"/>
      <c r="G216" s="88"/>
      <c r="H216" s="89"/>
      <c r="I216" s="89"/>
      <c r="K216" s="89">
        <f t="shared" si="7"/>
        <v>213</v>
      </c>
      <c r="L216" s="101">
        <v>1.1558252701178599E-2</v>
      </c>
      <c r="P216" s="164"/>
    </row>
    <row r="217" spans="2:16" x14ac:dyDescent="0.2">
      <c r="B217" s="87">
        <v>43609</v>
      </c>
      <c r="C217" s="100">
        <v>4.9610000000000003</v>
      </c>
      <c r="D217" s="101">
        <f t="shared" si="6"/>
        <v>-4.8260700948897697E-3</v>
      </c>
      <c r="E217" s="88"/>
      <c r="F217" s="88"/>
      <c r="G217" s="88"/>
      <c r="H217" s="89"/>
      <c r="I217" s="89"/>
      <c r="K217" s="89">
        <f t="shared" si="7"/>
        <v>214</v>
      </c>
      <c r="L217" s="101">
        <v>1.1619439907210901E-2</v>
      </c>
      <c r="P217" s="164"/>
    </row>
    <row r="218" spans="2:16" x14ac:dyDescent="0.2">
      <c r="B218" s="87">
        <v>43613</v>
      </c>
      <c r="C218" s="100">
        <v>4.91</v>
      </c>
      <c r="D218" s="101">
        <f t="shared" si="6"/>
        <v>-1.0333391512482601E-2</v>
      </c>
      <c r="E218" s="88"/>
      <c r="F218" s="88"/>
      <c r="G218" s="88"/>
      <c r="H218" s="89"/>
      <c r="I218" s="89"/>
      <c r="K218" s="89">
        <f t="shared" si="7"/>
        <v>215</v>
      </c>
      <c r="L218" s="101">
        <v>1.1690975330951999E-2</v>
      </c>
      <c r="P218" s="164"/>
    </row>
    <row r="219" spans="2:16" x14ac:dyDescent="0.2">
      <c r="B219" s="87">
        <v>43614</v>
      </c>
      <c r="C219" s="100">
        <v>4.8609999999999998</v>
      </c>
      <c r="D219" s="101">
        <f t="shared" si="6"/>
        <v>-1.00297637431109E-2</v>
      </c>
      <c r="E219" s="88"/>
      <c r="F219" s="88"/>
      <c r="G219" s="88"/>
      <c r="H219" s="89"/>
      <c r="I219" s="89"/>
      <c r="K219" s="89">
        <f t="shared" si="7"/>
        <v>216</v>
      </c>
      <c r="L219" s="101">
        <v>1.17733467735261E-2</v>
      </c>
      <c r="P219" s="164"/>
    </row>
    <row r="220" spans="2:16" x14ac:dyDescent="0.2">
      <c r="B220" s="87">
        <v>43615</v>
      </c>
      <c r="C220" s="100">
        <v>4.9249999999999998</v>
      </c>
      <c r="D220" s="101">
        <f t="shared" si="6"/>
        <v>1.3080096560733801E-2</v>
      </c>
      <c r="E220" s="88"/>
      <c r="F220" s="88"/>
      <c r="G220" s="88"/>
      <c r="H220" s="89"/>
      <c r="I220" s="89"/>
      <c r="K220" s="89">
        <f t="shared" si="7"/>
        <v>217</v>
      </c>
      <c r="L220" s="101">
        <v>1.21355961845869E-2</v>
      </c>
      <c r="P220" s="164"/>
    </row>
    <row r="221" spans="2:16" x14ac:dyDescent="0.2">
      <c r="B221" s="87">
        <v>43616</v>
      </c>
      <c r="C221" s="100">
        <v>4.9130000000000003</v>
      </c>
      <c r="D221" s="101">
        <f t="shared" si="6"/>
        <v>-2.4395214375409202E-3</v>
      </c>
      <c r="E221" s="88"/>
      <c r="F221" s="88"/>
      <c r="G221" s="88"/>
      <c r="H221" s="89"/>
      <c r="I221" s="89"/>
      <c r="K221" s="89">
        <f t="shared" si="7"/>
        <v>218</v>
      </c>
      <c r="L221" s="101">
        <v>1.24909002030405E-2</v>
      </c>
      <c r="P221" s="164"/>
    </row>
    <row r="222" spans="2:16" x14ac:dyDescent="0.2">
      <c r="B222" s="87">
        <v>43619</v>
      </c>
      <c r="C222" s="100">
        <v>4.9979999999999993</v>
      </c>
      <c r="D222" s="101">
        <f t="shared" si="6"/>
        <v>1.7153079226249299E-2</v>
      </c>
      <c r="E222" s="88"/>
      <c r="F222" s="88"/>
      <c r="G222" s="88"/>
      <c r="H222" s="89"/>
      <c r="I222" s="89"/>
      <c r="K222" s="89">
        <f t="shared" si="7"/>
        <v>219</v>
      </c>
      <c r="L222" s="101">
        <v>1.2832034482266099E-2</v>
      </c>
      <c r="P222" s="164"/>
    </row>
    <row r="223" spans="2:16" x14ac:dyDescent="0.2">
      <c r="B223" s="87">
        <v>43620</v>
      </c>
      <c r="C223" s="100">
        <v>5</v>
      </c>
      <c r="D223" s="101">
        <f t="shared" si="6"/>
        <v>4.0008002133989001E-4</v>
      </c>
      <c r="E223" s="88"/>
      <c r="F223" s="88"/>
      <c r="G223" s="88"/>
      <c r="H223" s="89"/>
      <c r="I223" s="89"/>
      <c r="K223" s="89">
        <f t="shared" si="7"/>
        <v>220</v>
      </c>
      <c r="L223" s="101">
        <v>1.2992820282485801E-2</v>
      </c>
      <c r="P223" s="164"/>
    </row>
    <row r="224" spans="2:16" x14ac:dyDescent="0.2">
      <c r="B224" s="87">
        <v>43621</v>
      </c>
      <c r="C224" s="100">
        <v>5.0780000000000003</v>
      </c>
      <c r="D224" s="101">
        <f t="shared" si="6"/>
        <v>1.5479570848386401E-2</v>
      </c>
      <c r="E224" s="88"/>
      <c r="F224" s="88"/>
      <c r="G224" s="88"/>
      <c r="H224" s="89"/>
      <c r="I224" s="89"/>
      <c r="K224" s="89">
        <f t="shared" si="7"/>
        <v>221</v>
      </c>
      <c r="L224" s="101">
        <v>1.3080096560733801E-2</v>
      </c>
      <c r="P224" s="164"/>
    </row>
    <row r="225" spans="2:16" x14ac:dyDescent="0.2">
      <c r="B225" s="87">
        <v>43622</v>
      </c>
      <c r="C225" s="100">
        <v>5.14</v>
      </c>
      <c r="D225" s="101">
        <f t="shared" si="6"/>
        <v>1.21355961845869E-2</v>
      </c>
      <c r="E225" s="88"/>
      <c r="F225" s="88"/>
      <c r="G225" s="88"/>
      <c r="H225" s="89"/>
      <c r="I225" s="89"/>
      <c r="K225" s="89">
        <f t="shared" si="7"/>
        <v>222</v>
      </c>
      <c r="L225" s="101">
        <v>1.3131087320430701E-2</v>
      </c>
      <c r="P225" s="164"/>
    </row>
    <row r="226" spans="2:16" x14ac:dyDescent="0.2">
      <c r="B226" s="87">
        <v>43623</v>
      </c>
      <c r="C226" s="100">
        <v>5.149</v>
      </c>
      <c r="D226" s="101">
        <f t="shared" si="6"/>
        <v>1.7494415969305599E-3</v>
      </c>
      <c r="E226" s="88"/>
      <c r="F226" s="88"/>
      <c r="G226" s="88"/>
      <c r="H226" s="89"/>
      <c r="I226" s="89"/>
      <c r="K226" s="89">
        <f t="shared" si="7"/>
        <v>223</v>
      </c>
      <c r="L226" s="101">
        <v>1.31651842130868E-2</v>
      </c>
      <c r="P226" s="164"/>
    </row>
    <row r="227" spans="2:16" x14ac:dyDescent="0.2">
      <c r="B227" s="87">
        <v>43626</v>
      </c>
      <c r="C227" s="100">
        <v>5.1379999999999999</v>
      </c>
      <c r="D227" s="101">
        <f t="shared" si="6"/>
        <v>-2.13862237631249E-3</v>
      </c>
      <c r="E227" s="88"/>
      <c r="F227" s="88"/>
      <c r="G227" s="88"/>
      <c r="H227" s="89"/>
      <c r="I227" s="89"/>
      <c r="K227" s="89">
        <f t="shared" si="7"/>
        <v>224</v>
      </c>
      <c r="L227" s="101">
        <v>1.3231534778307999E-2</v>
      </c>
      <c r="P227" s="164"/>
    </row>
    <row r="228" spans="2:16" x14ac:dyDescent="0.2">
      <c r="B228" s="87">
        <v>43627</v>
      </c>
      <c r="C228" s="100">
        <v>5.133</v>
      </c>
      <c r="D228" s="101">
        <f t="shared" si="6"/>
        <v>-9.7361510952565997E-4</v>
      </c>
      <c r="E228" s="88"/>
      <c r="F228" s="88"/>
      <c r="G228" s="88"/>
      <c r="H228" s="89"/>
      <c r="I228" s="89"/>
      <c r="K228" s="89">
        <f t="shared" si="7"/>
        <v>225</v>
      </c>
      <c r="L228" s="101">
        <v>1.3265898798311301E-2</v>
      </c>
      <c r="P228" s="164"/>
    </row>
    <row r="229" spans="2:16" x14ac:dyDescent="0.2">
      <c r="B229" s="87">
        <v>43628</v>
      </c>
      <c r="C229" s="100">
        <v>5.1639999999999997</v>
      </c>
      <c r="D229" s="101">
        <f t="shared" si="6"/>
        <v>6.0211894062299704E-3</v>
      </c>
      <c r="E229" s="88"/>
      <c r="F229" s="88"/>
      <c r="G229" s="88"/>
      <c r="H229" s="89"/>
      <c r="I229" s="89"/>
      <c r="K229" s="89">
        <f t="shared" si="7"/>
        <v>226</v>
      </c>
      <c r="L229" s="101">
        <v>1.36199067152707E-2</v>
      </c>
      <c r="P229" s="164"/>
    </row>
    <row r="230" spans="2:16" x14ac:dyDescent="0.2">
      <c r="B230" s="87">
        <v>43629</v>
      </c>
      <c r="C230" s="100">
        <v>5.1130000000000004</v>
      </c>
      <c r="D230" s="101">
        <f t="shared" si="6"/>
        <v>-9.9251568865337102E-3</v>
      </c>
      <c r="E230" s="88"/>
      <c r="F230" s="88"/>
      <c r="G230" s="88"/>
      <c r="H230" s="89"/>
      <c r="I230" s="89"/>
      <c r="K230" s="89">
        <f t="shared" si="7"/>
        <v>227</v>
      </c>
      <c r="L230" s="101">
        <v>1.37565959079712E-2</v>
      </c>
      <c r="P230" s="164"/>
    </row>
    <row r="231" spans="2:16" x14ac:dyDescent="0.2">
      <c r="B231" s="87">
        <v>43630</v>
      </c>
      <c r="C231" s="100">
        <v>5.1310000000000002</v>
      </c>
      <c r="D231" s="101">
        <f t="shared" si="6"/>
        <v>3.51425586196543E-3</v>
      </c>
      <c r="E231" s="88"/>
      <c r="F231" s="88"/>
      <c r="G231" s="88"/>
      <c r="H231" s="89"/>
      <c r="I231" s="89"/>
      <c r="K231" s="89">
        <f t="shared" si="7"/>
        <v>228</v>
      </c>
      <c r="L231" s="101">
        <v>1.46870890616819E-2</v>
      </c>
      <c r="P231" s="164"/>
    </row>
    <row r="232" spans="2:16" x14ac:dyDescent="0.2">
      <c r="B232" s="87">
        <v>43634</v>
      </c>
      <c r="C232" s="100">
        <v>5.0640000000000001</v>
      </c>
      <c r="D232" s="101">
        <f t="shared" si="6"/>
        <v>-1.31438871179527E-2</v>
      </c>
      <c r="E232" s="88"/>
      <c r="F232" s="88"/>
      <c r="G232" s="88"/>
      <c r="H232" s="89"/>
      <c r="I232" s="89"/>
      <c r="K232" s="89">
        <f t="shared" si="7"/>
        <v>229</v>
      </c>
      <c r="L232" s="101">
        <v>1.5479570848386401E-2</v>
      </c>
      <c r="P232" s="164"/>
    </row>
    <row r="233" spans="2:16" x14ac:dyDescent="0.2">
      <c r="B233" s="87">
        <v>43635</v>
      </c>
      <c r="C233" s="100">
        <v>5.1120000000000001</v>
      </c>
      <c r="D233" s="101">
        <f t="shared" si="6"/>
        <v>9.4340322333587093E-3</v>
      </c>
      <c r="E233" s="88"/>
      <c r="F233" s="88"/>
      <c r="G233" s="88"/>
      <c r="H233" s="89"/>
      <c r="I233" s="89"/>
      <c r="K233" s="89">
        <f t="shared" si="7"/>
        <v>230</v>
      </c>
      <c r="L233" s="101">
        <v>1.5662708704947799E-2</v>
      </c>
      <c r="P233" s="164"/>
    </row>
    <row r="234" spans="2:16" x14ac:dyDescent="0.2">
      <c r="B234" s="87">
        <v>43636</v>
      </c>
      <c r="C234" s="100">
        <v>5.1659999999999995</v>
      </c>
      <c r="D234" s="101">
        <f t="shared" si="6"/>
        <v>1.0507977598414899E-2</v>
      </c>
      <c r="E234" s="88"/>
      <c r="F234" s="88"/>
      <c r="G234" s="88"/>
      <c r="H234" s="89"/>
      <c r="I234" s="89"/>
      <c r="K234" s="89">
        <f t="shared" si="7"/>
        <v>231</v>
      </c>
      <c r="L234" s="101">
        <v>1.6711030921125899E-2</v>
      </c>
      <c r="P234" s="164"/>
    </row>
    <row r="235" spans="2:16" x14ac:dyDescent="0.2">
      <c r="B235" s="87">
        <v>43637</v>
      </c>
      <c r="C235" s="100">
        <v>5.1549999999999994</v>
      </c>
      <c r="D235" s="101">
        <f t="shared" si="6"/>
        <v>-2.1315772047255199E-3</v>
      </c>
      <c r="E235" s="88"/>
      <c r="F235" s="88"/>
      <c r="G235" s="88"/>
      <c r="H235" s="89"/>
      <c r="I235" s="89"/>
      <c r="K235" s="89">
        <f t="shared" si="7"/>
        <v>232</v>
      </c>
      <c r="L235" s="101">
        <v>1.6944239716500002E-2</v>
      </c>
      <c r="P235" s="164"/>
    </row>
    <row r="236" spans="2:16" x14ac:dyDescent="0.2">
      <c r="B236" s="87">
        <v>43640</v>
      </c>
      <c r="C236" s="100">
        <v>5.1920000000000002</v>
      </c>
      <c r="D236" s="101">
        <f t="shared" si="6"/>
        <v>7.1518619328658304E-3</v>
      </c>
      <c r="E236" s="88"/>
      <c r="F236" s="88"/>
      <c r="G236" s="88"/>
      <c r="H236" s="89"/>
      <c r="I236" s="89"/>
      <c r="K236" s="89">
        <f t="shared" si="7"/>
        <v>233</v>
      </c>
      <c r="L236" s="101">
        <v>1.7153079226249299E-2</v>
      </c>
      <c r="P236" s="164"/>
    </row>
    <row r="237" spans="2:16" x14ac:dyDescent="0.2">
      <c r="B237" s="87">
        <v>43641</v>
      </c>
      <c r="C237" s="100">
        <v>5.1760000000000002</v>
      </c>
      <c r="D237" s="101">
        <f t="shared" si="6"/>
        <v>-3.0864222031893899E-3</v>
      </c>
      <c r="E237" s="88"/>
      <c r="F237" s="88"/>
      <c r="G237" s="88"/>
      <c r="H237" s="89"/>
      <c r="I237" s="89"/>
      <c r="K237" s="89">
        <f t="shared" si="7"/>
        <v>234</v>
      </c>
      <c r="L237" s="101">
        <v>1.81723665270257E-2</v>
      </c>
      <c r="P237" s="164"/>
    </row>
    <row r="238" spans="2:16" x14ac:dyDescent="0.2">
      <c r="B238" s="87">
        <v>43642</v>
      </c>
      <c r="C238" s="100">
        <v>5.1120000000000001</v>
      </c>
      <c r="D238" s="101">
        <f t="shared" si="6"/>
        <v>-1.24418401233657E-2</v>
      </c>
      <c r="E238" s="88"/>
      <c r="F238" s="88"/>
      <c r="G238" s="88"/>
      <c r="H238" s="89"/>
      <c r="I238" s="89"/>
      <c r="K238" s="89">
        <f t="shared" si="7"/>
        <v>235</v>
      </c>
      <c r="L238" s="101">
        <v>1.9704049283925398E-2</v>
      </c>
      <c r="P238" s="164"/>
    </row>
    <row r="239" spans="2:16" x14ac:dyDescent="0.2">
      <c r="B239" s="87">
        <v>43643</v>
      </c>
      <c r="C239" s="100">
        <v>5.1079999999999997</v>
      </c>
      <c r="D239" s="101">
        <f t="shared" si="6"/>
        <v>-7.8277890494095001E-4</v>
      </c>
      <c r="E239" s="88"/>
      <c r="F239" s="88"/>
      <c r="G239" s="88"/>
      <c r="H239" s="89"/>
      <c r="I239" s="89"/>
      <c r="K239" s="89">
        <f t="shared" si="7"/>
        <v>236</v>
      </c>
      <c r="L239" s="101">
        <v>1.9743768401953101E-2</v>
      </c>
      <c r="P239" s="164"/>
    </row>
    <row r="240" spans="2:16" x14ac:dyDescent="0.2">
      <c r="B240" s="87">
        <v>43644</v>
      </c>
      <c r="C240" s="100">
        <v>5.0920000000000005</v>
      </c>
      <c r="D240" s="101">
        <f t="shared" si="6"/>
        <v>-3.1372574751325501E-3</v>
      </c>
      <c r="E240" s="88"/>
      <c r="F240" s="88"/>
      <c r="G240" s="88"/>
      <c r="H240" s="89"/>
      <c r="I240" s="89"/>
      <c r="K240" s="89">
        <f t="shared" si="7"/>
        <v>237</v>
      </c>
      <c r="L240" s="101">
        <v>2.1098737442322501E-2</v>
      </c>
      <c r="P240" s="164"/>
    </row>
    <row r="241" spans="2:16" x14ac:dyDescent="0.2">
      <c r="B241" s="87">
        <v>43647</v>
      </c>
      <c r="C241" s="100">
        <v>5.16</v>
      </c>
      <c r="D241" s="101">
        <f t="shared" si="6"/>
        <v>1.3265898798311301E-2</v>
      </c>
      <c r="E241" s="88"/>
      <c r="F241" s="88"/>
      <c r="G241" s="88"/>
      <c r="H241" s="89"/>
      <c r="I241" s="89"/>
      <c r="K241" s="89">
        <f t="shared" si="7"/>
        <v>238</v>
      </c>
      <c r="L241" s="101">
        <v>2.13748595847334E-2</v>
      </c>
      <c r="P241" s="164"/>
    </row>
    <row r="242" spans="2:16" x14ac:dyDescent="0.2">
      <c r="B242" s="87">
        <v>43648</v>
      </c>
      <c r="C242" s="100">
        <v>5.1979999999999995</v>
      </c>
      <c r="D242" s="101">
        <f t="shared" si="6"/>
        <v>7.3373567258271204E-3</v>
      </c>
      <c r="E242" s="88"/>
      <c r="F242" s="88"/>
      <c r="G242" s="88"/>
      <c r="H242" s="89"/>
      <c r="I242" s="89"/>
      <c r="K242" s="89">
        <f t="shared" si="7"/>
        <v>239</v>
      </c>
      <c r="L242" s="101">
        <v>2.4871087470505902E-2</v>
      </c>
      <c r="P242" s="164"/>
    </row>
    <row r="243" spans="2:16" x14ac:dyDescent="0.2">
      <c r="B243" s="87">
        <v>43649</v>
      </c>
      <c r="C243" s="100">
        <v>5.21</v>
      </c>
      <c r="D243" s="101">
        <f t="shared" si="6"/>
        <v>2.3059195459770999E-3</v>
      </c>
      <c r="E243" s="88"/>
      <c r="F243" s="88"/>
      <c r="G243" s="88"/>
      <c r="H243" s="89"/>
      <c r="I243" s="89"/>
      <c r="K243" s="89">
        <f t="shared" si="7"/>
        <v>240</v>
      </c>
      <c r="L243" s="101">
        <v>2.8579123553301299E-2</v>
      </c>
      <c r="P243" s="164"/>
    </row>
    <row r="244" spans="2:16" x14ac:dyDescent="0.2">
      <c r="B244" s="87">
        <v>43651</v>
      </c>
      <c r="C244" s="100">
        <v>5.2110000000000003</v>
      </c>
      <c r="D244" s="101">
        <f t="shared" si="6"/>
        <v>1.9192016180200999E-4</v>
      </c>
      <c r="E244" s="88"/>
      <c r="F244" s="88"/>
      <c r="G244" s="88"/>
      <c r="H244" s="89"/>
      <c r="I244" s="89"/>
      <c r="K244" s="89">
        <f t="shared" si="7"/>
        <v>241</v>
      </c>
      <c r="L244" s="101">
        <v>2.9446205722390199E-2</v>
      </c>
      <c r="M244" s="164"/>
      <c r="P244" s="164"/>
    </row>
    <row r="245" spans="2:16" x14ac:dyDescent="0.2">
      <c r="B245" s="87">
        <v>43654</v>
      </c>
      <c r="C245" s="100">
        <v>5.2</v>
      </c>
      <c r="D245" s="101">
        <f t="shared" si="6"/>
        <v>-2.1131503396958902E-3</v>
      </c>
      <c r="E245" s="88"/>
      <c r="F245" s="88"/>
      <c r="G245" s="88"/>
      <c r="H245" s="89"/>
      <c r="I245" s="89"/>
    </row>
    <row r="246" spans="2:16" x14ac:dyDescent="0.2">
      <c r="B246" s="87">
        <v>43655</v>
      </c>
      <c r="C246" s="91"/>
      <c r="D246" s="92"/>
      <c r="E246" s="103">
        <f>N6</f>
        <v>-1.7885660006849199E-2</v>
      </c>
      <c r="F246" s="103">
        <f>N7</f>
        <v>1.6933182876461599E-2</v>
      </c>
      <c r="G246" s="100">
        <f>ROUND(C245*(1+E246),$D$1)</f>
        <v>5.1069945679643798</v>
      </c>
      <c r="H246" s="100">
        <f>ROUND(C245*(1+F246),$D$1)</f>
        <v>5.2880525509576</v>
      </c>
      <c r="I246" s="100">
        <v>5.19</v>
      </c>
    </row>
    <row r="247" spans="2:16" x14ac:dyDescent="0.2">
      <c r="B247" s="93"/>
      <c r="C247" s="93"/>
      <c r="D247" s="93"/>
      <c r="E247" s="94"/>
      <c r="F247" s="94"/>
      <c r="G247" s="94"/>
    </row>
    <row r="248" spans="2:16" x14ac:dyDescent="0.2">
      <c r="B248" s="95"/>
      <c r="C248" s="95"/>
      <c r="D248" s="95"/>
    </row>
    <row r="249" spans="2:16" x14ac:dyDescent="0.2">
      <c r="B249" s="95"/>
      <c r="C249" s="95"/>
      <c r="D249" s="95"/>
    </row>
  </sheetData>
  <mergeCells count="1">
    <mergeCell ref="K1:N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U309"/>
  <sheetViews>
    <sheetView showGridLines="0" zoomScale="120" zoomScaleNormal="120" workbookViewId="0">
      <pane xSplit="1" ySplit="7" topLeftCell="F8" activePane="bottomRight" state="frozen"/>
      <selection activeCell="B1391" sqref="B1391"/>
      <selection pane="topRight" activeCell="B1391" sqref="B1391"/>
      <selection pane="bottomLeft" activeCell="B1391" sqref="B1391"/>
      <selection pane="bottomRight" activeCell="I99" sqref="I99"/>
    </sheetView>
  </sheetViews>
  <sheetFormatPr baseColWidth="10" defaultRowHeight="11.25" outlineLevelRow="1" x14ac:dyDescent="0.2"/>
  <cols>
    <col min="1" max="1" width="4.7109375" style="112" customWidth="1"/>
    <col min="2" max="2" width="4.42578125" style="112" hidden="1" customWidth="1"/>
    <col min="3" max="3" width="3.85546875" style="112" hidden="1" customWidth="1"/>
    <col min="4" max="4" width="7.42578125" style="112" hidden="1" customWidth="1"/>
    <col min="5" max="5" width="10.140625" style="112" hidden="1" customWidth="1"/>
    <col min="6" max="6" width="9" style="112" customWidth="1"/>
    <col min="7" max="7" width="18.85546875" style="112" bestFit="1" customWidth="1"/>
    <col min="8" max="8" width="23" style="112" customWidth="1"/>
    <col min="9" max="9" width="22.85546875" style="112" customWidth="1"/>
    <col min="10" max="10" width="20.140625" style="112" customWidth="1"/>
    <col min="11" max="11" width="23.42578125" style="113" customWidth="1"/>
    <col min="12" max="12" width="23.28515625" style="156" customWidth="1"/>
    <col min="13" max="13" width="18.85546875" style="156" bestFit="1" customWidth="1"/>
    <col min="14" max="14" width="10.140625" style="112" customWidth="1"/>
    <col min="15" max="15" width="10.42578125" style="112" customWidth="1"/>
    <col min="16" max="16384" width="11.42578125" style="112"/>
  </cols>
  <sheetData>
    <row r="1" spans="1:21" ht="16.5" customHeight="1" x14ac:dyDescent="0.2">
      <c r="J1" s="59"/>
    </row>
    <row r="2" spans="1:21" ht="11.25" customHeight="1" x14ac:dyDescent="0.2">
      <c r="A2" s="127"/>
      <c r="H2" s="71" t="s">
        <v>309</v>
      </c>
      <c r="I2" s="165">
        <v>2.3263478740408399</v>
      </c>
      <c r="M2" s="166"/>
    </row>
    <row r="3" spans="1:21" ht="11.25" customHeight="1" x14ac:dyDescent="0.2">
      <c r="A3" s="127"/>
      <c r="H3" s="71" t="s">
        <v>293</v>
      </c>
      <c r="I3" s="167">
        <v>0.94</v>
      </c>
    </row>
    <row r="4" spans="1:21" x14ac:dyDescent="0.2">
      <c r="H4" s="168" t="s">
        <v>307</v>
      </c>
      <c r="I4" s="168">
        <v>17</v>
      </c>
    </row>
    <row r="5" spans="1:21" ht="3" customHeight="1" x14ac:dyDescent="0.2"/>
    <row r="6" spans="1:21" ht="11.25" customHeight="1" x14ac:dyDescent="0.2">
      <c r="B6" s="60" t="s">
        <v>55</v>
      </c>
      <c r="C6" s="61"/>
      <c r="D6" s="61"/>
      <c r="E6" s="61"/>
      <c r="L6" s="113"/>
      <c r="M6" s="113"/>
      <c r="N6" s="62"/>
    </row>
    <row r="7" spans="1:21" ht="36.75" customHeight="1" x14ac:dyDescent="0.2">
      <c r="B7" s="63" t="s">
        <v>294</v>
      </c>
      <c r="C7" s="63" t="s">
        <v>295</v>
      </c>
      <c r="D7" s="63" t="s">
        <v>296</v>
      </c>
      <c r="E7" s="64" t="s">
        <v>267</v>
      </c>
      <c r="F7" s="65" t="s">
        <v>55</v>
      </c>
      <c r="G7" s="65" t="s">
        <v>310</v>
      </c>
      <c r="H7" s="65" t="s">
        <v>311</v>
      </c>
      <c r="I7" s="65" t="s">
        <v>312</v>
      </c>
      <c r="J7" s="65" t="s">
        <v>313</v>
      </c>
      <c r="K7" s="66" t="s">
        <v>314</v>
      </c>
      <c r="L7" s="66" t="s">
        <v>315</v>
      </c>
      <c r="M7" s="66" t="s">
        <v>316</v>
      </c>
      <c r="N7" s="67" t="s">
        <v>297</v>
      </c>
      <c r="O7" s="67" t="s">
        <v>298</v>
      </c>
    </row>
    <row r="8" spans="1:21" ht="11.25" customHeight="1" outlineLevel="1" x14ac:dyDescent="0.2">
      <c r="B8" s="169">
        <f>IFERROR(IF(YEAR(F8)=YEAR(#REF!),"",YEAR(F8)),YEAR(F8))</f>
        <v>2019</v>
      </c>
      <c r="C8" s="170" t="str">
        <f>IFERROR(IF(TEXT(F8,"mm")=TEXT(#REF!,"mm"),"",TEXT(F8,"mm")),TEXT(F8,"mm"))</f>
        <v>02</v>
      </c>
      <c r="D8" s="171">
        <f t="shared" ref="D8:D71" si="0">WEEKDAY(F8,2)</f>
        <v>2</v>
      </c>
      <c r="E8" s="171" t="str">
        <f t="shared" ref="E8:E71" si="1">VLOOKUP(D8,$T$10:$U$16,2,0)</f>
        <v>MARTES</v>
      </c>
      <c r="F8" s="68">
        <v>43515</v>
      </c>
      <c r="G8" s="104">
        <v>109.371</v>
      </c>
      <c r="H8" s="172"/>
      <c r="I8" s="172"/>
      <c r="J8" s="172"/>
      <c r="K8" s="172"/>
      <c r="L8" s="172"/>
      <c r="M8" s="172"/>
      <c r="N8" s="173"/>
      <c r="O8" s="69"/>
    </row>
    <row r="9" spans="1:21" ht="11.25" customHeight="1" outlineLevel="1" x14ac:dyDescent="0.2">
      <c r="B9" s="169" t="str">
        <f>IFERROR(IF(YEAR(F9)=YEAR(F8),"",YEAR(F9)),YEAR(F9))</f>
        <v/>
      </c>
      <c r="C9" s="170" t="str">
        <f>IFERROR(IF(TEXT(F9,"mm")=TEXT(F8,"mm"),"",TEXT(F9,"mm")),TEXT(F9,"mm"))</f>
        <v/>
      </c>
      <c r="D9" s="171">
        <f t="shared" si="0"/>
        <v>3</v>
      </c>
      <c r="E9" s="171" t="str">
        <f t="shared" si="1"/>
        <v>MIERCOLES</v>
      </c>
      <c r="F9" s="70">
        <v>43516</v>
      </c>
      <c r="G9" s="105">
        <v>109.248</v>
      </c>
      <c r="H9" s="174">
        <f>ROUND(LN(G9/G8),$I$4)</f>
        <v>-1.1252454084805701E-3</v>
      </c>
      <c r="I9" s="175"/>
      <c r="J9" s="175"/>
      <c r="K9" s="175"/>
      <c r="L9" s="175"/>
      <c r="M9" s="175"/>
      <c r="N9" s="73"/>
      <c r="O9" s="71"/>
    </row>
    <row r="10" spans="1:21" ht="11.25" customHeight="1" outlineLevel="1" x14ac:dyDescent="0.2">
      <c r="B10" s="169" t="str">
        <f t="shared" ref="B10:B73" si="2">IFERROR(IF(YEAR(F10)=YEAR(F9),"",YEAR(F10)),YEAR(F10))</f>
        <v/>
      </c>
      <c r="C10" s="170" t="str">
        <f t="shared" ref="C10:C73" si="3">IFERROR(IF(TEXT(F10,"mm")=TEXT(F9,"mm"),"",TEXT(F10,"mm")),TEXT(F10,"mm"))</f>
        <v/>
      </c>
      <c r="D10" s="171">
        <f t="shared" si="0"/>
        <v>4</v>
      </c>
      <c r="E10" s="171" t="str">
        <f t="shared" si="1"/>
        <v>JUEVES</v>
      </c>
      <c r="F10" s="70">
        <v>43517</v>
      </c>
      <c r="G10" s="105">
        <v>108.991</v>
      </c>
      <c r="H10" s="174">
        <f t="shared" ref="H10:H73" si="4">ROUND(LN(G10/G9),$I$4)</f>
        <v>-2.3552171591628901E-3</v>
      </c>
      <c r="I10" s="175"/>
      <c r="J10" s="175"/>
      <c r="K10" s="175"/>
      <c r="L10" s="175"/>
      <c r="M10" s="175"/>
      <c r="N10" s="73"/>
      <c r="O10" s="71"/>
      <c r="T10" s="56">
        <v>1</v>
      </c>
      <c r="U10" s="56" t="s">
        <v>283</v>
      </c>
    </row>
    <row r="11" spans="1:21" ht="11.25" customHeight="1" outlineLevel="1" x14ac:dyDescent="0.2">
      <c r="B11" s="169" t="str">
        <f t="shared" si="2"/>
        <v/>
      </c>
      <c r="C11" s="170" t="str">
        <f t="shared" si="3"/>
        <v/>
      </c>
      <c r="D11" s="171">
        <f t="shared" si="0"/>
        <v>5</v>
      </c>
      <c r="E11" s="171" t="str">
        <f t="shared" si="1"/>
        <v>VIERNES</v>
      </c>
      <c r="F11" s="70">
        <v>43518</v>
      </c>
      <c r="G11" s="105">
        <v>109.25</v>
      </c>
      <c r="H11" s="174">
        <f t="shared" si="4"/>
        <v>2.37352396288682E-3</v>
      </c>
      <c r="I11" s="175"/>
      <c r="J11" s="175"/>
      <c r="K11" s="175"/>
      <c r="L11" s="175"/>
      <c r="M11" s="175"/>
      <c r="N11" s="73"/>
      <c r="O11" s="71"/>
      <c r="T11" s="56">
        <v>2</v>
      </c>
      <c r="U11" s="56" t="s">
        <v>286</v>
      </c>
    </row>
    <row r="12" spans="1:21" ht="11.25" customHeight="1" outlineLevel="1" x14ac:dyDescent="0.2">
      <c r="B12" s="169" t="str">
        <f t="shared" si="2"/>
        <v/>
      </c>
      <c r="C12" s="170" t="str">
        <f t="shared" si="3"/>
        <v/>
      </c>
      <c r="D12" s="171">
        <f t="shared" si="0"/>
        <v>1</v>
      </c>
      <c r="E12" s="171" t="str">
        <f t="shared" si="1"/>
        <v>LUNES</v>
      </c>
      <c r="F12" s="70">
        <v>43521</v>
      </c>
      <c r="G12" s="105">
        <v>109.32</v>
      </c>
      <c r="H12" s="174">
        <f t="shared" si="4"/>
        <v>6.4052708416776E-4</v>
      </c>
      <c r="I12" s="175"/>
      <c r="J12" s="175"/>
      <c r="K12" s="175"/>
      <c r="L12" s="175"/>
      <c r="M12" s="175"/>
      <c r="N12" s="73"/>
      <c r="O12" s="71"/>
      <c r="T12" s="56">
        <v>3</v>
      </c>
      <c r="U12" s="56" t="s">
        <v>289</v>
      </c>
    </row>
    <row r="13" spans="1:21" ht="11.25" customHeight="1" outlineLevel="1" x14ac:dyDescent="0.2">
      <c r="B13" s="169" t="str">
        <f t="shared" si="2"/>
        <v/>
      </c>
      <c r="C13" s="170" t="str">
        <f t="shared" si="3"/>
        <v/>
      </c>
      <c r="D13" s="171">
        <f t="shared" si="0"/>
        <v>2</v>
      </c>
      <c r="E13" s="171" t="str">
        <f t="shared" si="1"/>
        <v>MARTES</v>
      </c>
      <c r="F13" s="70">
        <v>43522</v>
      </c>
      <c r="G13" s="105">
        <v>109.51</v>
      </c>
      <c r="H13" s="174">
        <f t="shared" si="4"/>
        <v>1.73650822780065E-3</v>
      </c>
      <c r="I13" s="175"/>
      <c r="J13" s="175"/>
      <c r="K13" s="175"/>
      <c r="L13" s="175"/>
      <c r="M13" s="175"/>
      <c r="N13" s="73"/>
      <c r="O13" s="71"/>
      <c r="T13" s="56">
        <v>4</v>
      </c>
      <c r="U13" s="56" t="s">
        <v>291</v>
      </c>
    </row>
    <row r="14" spans="1:21" ht="11.25" customHeight="1" outlineLevel="1" x14ac:dyDescent="0.2">
      <c r="B14" s="169" t="str">
        <f t="shared" si="2"/>
        <v/>
      </c>
      <c r="C14" s="170" t="str">
        <f t="shared" si="3"/>
        <v/>
      </c>
      <c r="D14" s="171">
        <f t="shared" si="0"/>
        <v>3</v>
      </c>
      <c r="E14" s="171" t="str">
        <f t="shared" si="1"/>
        <v>MIERCOLES</v>
      </c>
      <c r="F14" s="70">
        <v>43523</v>
      </c>
      <c r="G14" s="105">
        <v>109.871</v>
      </c>
      <c r="H14" s="174">
        <f t="shared" si="4"/>
        <v>3.2910810493066698E-3</v>
      </c>
      <c r="I14" s="175"/>
      <c r="J14" s="175"/>
      <c r="K14" s="175"/>
      <c r="L14" s="175"/>
      <c r="M14" s="175"/>
      <c r="N14" s="73"/>
      <c r="O14" s="71"/>
      <c r="T14" s="56">
        <v>5</v>
      </c>
      <c r="U14" s="56" t="s">
        <v>292</v>
      </c>
    </row>
    <row r="15" spans="1:21" ht="11.25" customHeight="1" outlineLevel="1" x14ac:dyDescent="0.2">
      <c r="B15" s="169" t="str">
        <f t="shared" si="2"/>
        <v/>
      </c>
      <c r="C15" s="170" t="str">
        <f t="shared" si="3"/>
        <v/>
      </c>
      <c r="D15" s="171">
        <f t="shared" si="0"/>
        <v>4</v>
      </c>
      <c r="E15" s="171" t="str">
        <f t="shared" si="1"/>
        <v>JUEVES</v>
      </c>
      <c r="F15" s="70">
        <v>43524</v>
      </c>
      <c r="G15" s="105">
        <v>109.81399999999999</v>
      </c>
      <c r="H15" s="174">
        <f t="shared" si="4"/>
        <v>-5.1892483582494998E-4</v>
      </c>
      <c r="I15" s="175"/>
      <c r="J15" s="175"/>
      <c r="K15" s="175"/>
      <c r="L15" s="175"/>
      <c r="M15" s="175"/>
      <c r="N15" s="73"/>
      <c r="O15" s="71"/>
      <c r="T15" s="56">
        <v>6</v>
      </c>
      <c r="U15" s="56" t="s">
        <v>284</v>
      </c>
    </row>
    <row r="16" spans="1:21" ht="11.25" customHeight="1" outlineLevel="1" x14ac:dyDescent="0.2">
      <c r="B16" s="169" t="str">
        <f t="shared" si="2"/>
        <v/>
      </c>
      <c r="C16" s="170" t="str">
        <f t="shared" si="3"/>
        <v>03</v>
      </c>
      <c r="D16" s="171">
        <f t="shared" si="0"/>
        <v>5</v>
      </c>
      <c r="E16" s="171" t="str">
        <f t="shared" si="1"/>
        <v>VIERNES</v>
      </c>
      <c r="F16" s="70">
        <v>43525</v>
      </c>
      <c r="G16" s="105">
        <v>109.848</v>
      </c>
      <c r="H16" s="174">
        <f t="shared" si="4"/>
        <v>3.0956651830112001E-4</v>
      </c>
      <c r="I16" s="175"/>
      <c r="J16" s="175"/>
      <c r="K16" s="175"/>
      <c r="L16" s="175"/>
      <c r="M16" s="175"/>
      <c r="N16" s="73"/>
      <c r="O16" s="71"/>
      <c r="T16" s="56">
        <v>7</v>
      </c>
      <c r="U16" s="56" t="s">
        <v>287</v>
      </c>
    </row>
    <row r="17" spans="2:15" ht="11.25" customHeight="1" outlineLevel="1" x14ac:dyDescent="0.2">
      <c r="B17" s="169" t="str">
        <f t="shared" si="2"/>
        <v/>
      </c>
      <c r="C17" s="170" t="str">
        <f t="shared" si="3"/>
        <v/>
      </c>
      <c r="D17" s="171">
        <f t="shared" si="0"/>
        <v>1</v>
      </c>
      <c r="E17" s="171" t="str">
        <f t="shared" si="1"/>
        <v>LUNES</v>
      </c>
      <c r="F17" s="70">
        <v>43528</v>
      </c>
      <c r="G17" s="105">
        <v>109.648</v>
      </c>
      <c r="H17" s="174">
        <f t="shared" si="4"/>
        <v>-1.82235717598285E-3</v>
      </c>
      <c r="I17" s="175"/>
      <c r="J17" s="175"/>
      <c r="K17" s="175"/>
      <c r="L17" s="175"/>
      <c r="M17" s="175"/>
      <c r="N17" s="73"/>
      <c r="O17" s="71"/>
    </row>
    <row r="18" spans="2:15" ht="11.25" customHeight="1" outlineLevel="1" x14ac:dyDescent="0.2">
      <c r="B18" s="169" t="str">
        <f t="shared" si="2"/>
        <v/>
      </c>
      <c r="C18" s="170" t="str">
        <f t="shared" si="3"/>
        <v/>
      </c>
      <c r="D18" s="171">
        <f t="shared" si="0"/>
        <v>2</v>
      </c>
      <c r="E18" s="171" t="str">
        <f t="shared" si="1"/>
        <v>MARTES</v>
      </c>
      <c r="F18" s="70">
        <v>43529</v>
      </c>
      <c r="G18" s="105">
        <v>110.021</v>
      </c>
      <c r="H18" s="174">
        <f t="shared" si="4"/>
        <v>3.39602181903601E-3</v>
      </c>
      <c r="I18" s="175"/>
      <c r="J18" s="175"/>
      <c r="K18" s="175"/>
      <c r="L18" s="175"/>
      <c r="M18" s="175"/>
      <c r="N18" s="73"/>
      <c r="O18" s="71"/>
    </row>
    <row r="19" spans="2:15" ht="11.25" customHeight="1" outlineLevel="1" x14ac:dyDescent="0.2">
      <c r="B19" s="169" t="str">
        <f t="shared" si="2"/>
        <v/>
      </c>
      <c r="C19" s="170" t="str">
        <f t="shared" si="3"/>
        <v/>
      </c>
      <c r="D19" s="171">
        <f t="shared" si="0"/>
        <v>3</v>
      </c>
      <c r="E19" s="171" t="str">
        <f t="shared" si="1"/>
        <v>MIERCOLES</v>
      </c>
      <c r="F19" s="70">
        <v>43530</v>
      </c>
      <c r="G19" s="105">
        <v>110.071</v>
      </c>
      <c r="H19" s="174">
        <f t="shared" si="4"/>
        <v>4.5435545917302001E-4</v>
      </c>
      <c r="I19" s="175"/>
      <c r="J19" s="175"/>
      <c r="K19" s="175"/>
      <c r="L19" s="175"/>
      <c r="M19" s="175"/>
      <c r="N19" s="73"/>
      <c r="O19" s="71"/>
    </row>
    <row r="20" spans="2:15" ht="11.25" customHeight="1" outlineLevel="1" x14ac:dyDescent="0.2">
      <c r="B20" s="169" t="str">
        <f t="shared" si="2"/>
        <v/>
      </c>
      <c r="C20" s="170" t="str">
        <f t="shared" si="3"/>
        <v/>
      </c>
      <c r="D20" s="171">
        <f t="shared" si="0"/>
        <v>4</v>
      </c>
      <c r="E20" s="171" t="str">
        <f t="shared" si="1"/>
        <v>JUEVES</v>
      </c>
      <c r="F20" s="70">
        <v>43531</v>
      </c>
      <c r="G20" s="105">
        <v>110.05</v>
      </c>
      <c r="H20" s="174">
        <f t="shared" si="4"/>
        <v>-1.9080414920618E-4</v>
      </c>
      <c r="I20" s="175"/>
      <c r="J20" s="175"/>
      <c r="K20" s="175"/>
      <c r="L20" s="175"/>
      <c r="M20" s="175"/>
      <c r="N20" s="73"/>
      <c r="O20" s="71"/>
    </row>
    <row r="21" spans="2:15" ht="11.25" customHeight="1" outlineLevel="1" x14ac:dyDescent="0.2">
      <c r="B21" s="169" t="str">
        <f t="shared" si="2"/>
        <v/>
      </c>
      <c r="C21" s="170" t="str">
        <f t="shared" si="3"/>
        <v/>
      </c>
      <c r="D21" s="171">
        <f t="shared" si="0"/>
        <v>5</v>
      </c>
      <c r="E21" s="171" t="str">
        <f t="shared" si="1"/>
        <v>VIERNES</v>
      </c>
      <c r="F21" s="70">
        <v>43532</v>
      </c>
      <c r="G21" s="105">
        <v>110.08799999999999</v>
      </c>
      <c r="H21" s="174">
        <f t="shared" si="4"/>
        <v>3.4523799050978002E-4</v>
      </c>
      <c r="I21" s="175"/>
      <c r="J21" s="175"/>
      <c r="K21" s="175"/>
      <c r="L21" s="175"/>
      <c r="M21" s="175"/>
      <c r="N21" s="73"/>
      <c r="O21" s="71"/>
    </row>
    <row r="22" spans="2:15" ht="11.25" customHeight="1" outlineLevel="1" x14ac:dyDescent="0.2">
      <c r="B22" s="169" t="str">
        <f t="shared" si="2"/>
        <v/>
      </c>
      <c r="C22" s="170" t="str">
        <f t="shared" si="3"/>
        <v/>
      </c>
      <c r="D22" s="171">
        <f t="shared" si="0"/>
        <v>1</v>
      </c>
      <c r="E22" s="171" t="str">
        <f t="shared" si="1"/>
        <v>LUNES</v>
      </c>
      <c r="F22" s="70">
        <v>43535</v>
      </c>
      <c r="G22" s="105">
        <v>110.184</v>
      </c>
      <c r="H22" s="174">
        <f t="shared" si="4"/>
        <v>8.7164965205011003E-4</v>
      </c>
      <c r="I22" s="175"/>
      <c r="J22" s="175"/>
      <c r="K22" s="175"/>
      <c r="L22" s="175"/>
      <c r="M22" s="175"/>
      <c r="N22" s="73"/>
      <c r="O22" s="71"/>
    </row>
    <row r="23" spans="2:15" ht="11.25" customHeight="1" outlineLevel="1" x14ac:dyDescent="0.2">
      <c r="B23" s="169" t="str">
        <f t="shared" si="2"/>
        <v/>
      </c>
      <c r="C23" s="170" t="str">
        <f t="shared" si="3"/>
        <v/>
      </c>
      <c r="D23" s="171">
        <f t="shared" si="0"/>
        <v>2</v>
      </c>
      <c r="E23" s="171" t="str">
        <f t="shared" si="1"/>
        <v>MARTES</v>
      </c>
      <c r="F23" s="70">
        <v>43536</v>
      </c>
      <c r="G23" s="105">
        <v>110.42400000000001</v>
      </c>
      <c r="H23" s="174">
        <f t="shared" si="4"/>
        <v>2.1758059062465698E-3</v>
      </c>
      <c r="I23" s="175"/>
      <c r="J23" s="175"/>
      <c r="K23" s="175"/>
      <c r="L23" s="175"/>
      <c r="M23" s="175"/>
      <c r="N23" s="73"/>
      <c r="O23" s="71"/>
    </row>
    <row r="24" spans="2:15" ht="11.25" customHeight="1" outlineLevel="1" x14ac:dyDescent="0.2">
      <c r="B24" s="169" t="str">
        <f t="shared" si="2"/>
        <v/>
      </c>
      <c r="C24" s="170" t="str">
        <f t="shared" si="3"/>
        <v/>
      </c>
      <c r="D24" s="171">
        <f t="shared" si="0"/>
        <v>3</v>
      </c>
      <c r="E24" s="171" t="str">
        <f t="shared" si="1"/>
        <v>MIERCOLES</v>
      </c>
      <c r="F24" s="70">
        <v>43537</v>
      </c>
      <c r="G24" s="105">
        <v>110.401</v>
      </c>
      <c r="H24" s="174">
        <f t="shared" si="4"/>
        <v>-2.0830974829100999E-4</v>
      </c>
      <c r="I24" s="175"/>
      <c r="J24" s="175"/>
      <c r="K24" s="175"/>
      <c r="L24" s="175"/>
      <c r="M24" s="175"/>
      <c r="N24" s="73"/>
      <c r="O24" s="71"/>
    </row>
    <row r="25" spans="2:15" ht="11.25" customHeight="1" outlineLevel="1" x14ac:dyDescent="0.2">
      <c r="B25" s="169" t="str">
        <f t="shared" si="2"/>
        <v/>
      </c>
      <c r="C25" s="170" t="str">
        <f t="shared" si="3"/>
        <v/>
      </c>
      <c r="D25" s="171">
        <f t="shared" si="0"/>
        <v>4</v>
      </c>
      <c r="E25" s="171" t="str">
        <f t="shared" si="1"/>
        <v>JUEVES</v>
      </c>
      <c r="F25" s="70">
        <v>43538</v>
      </c>
      <c r="G25" s="105">
        <v>110.321</v>
      </c>
      <c r="H25" s="174">
        <f t="shared" si="4"/>
        <v>-7.2489378950120996E-4</v>
      </c>
      <c r="I25" s="175"/>
      <c r="J25" s="175"/>
      <c r="K25" s="175"/>
      <c r="L25" s="175"/>
      <c r="M25" s="175"/>
      <c r="N25" s="73"/>
      <c r="O25" s="71"/>
    </row>
    <row r="26" spans="2:15" ht="11.25" customHeight="1" outlineLevel="1" x14ac:dyDescent="0.2">
      <c r="B26" s="169" t="str">
        <f t="shared" si="2"/>
        <v/>
      </c>
      <c r="C26" s="170" t="str">
        <f t="shared" si="3"/>
        <v/>
      </c>
      <c r="D26" s="171">
        <f t="shared" si="0"/>
        <v>5</v>
      </c>
      <c r="E26" s="171" t="str">
        <f t="shared" si="1"/>
        <v>VIERNES</v>
      </c>
      <c r="F26" s="70">
        <v>43539</v>
      </c>
      <c r="G26" s="105">
        <v>110.762</v>
      </c>
      <c r="H26" s="174">
        <f t="shared" si="4"/>
        <v>3.9894572165599098E-3</v>
      </c>
      <c r="I26" s="175"/>
      <c r="J26" s="175"/>
      <c r="K26" s="175"/>
      <c r="L26" s="175"/>
      <c r="M26" s="175"/>
      <c r="N26" s="73"/>
      <c r="O26" s="71"/>
    </row>
    <row r="27" spans="2:15" ht="11.25" customHeight="1" outlineLevel="1" x14ac:dyDescent="0.2">
      <c r="B27" s="169" t="str">
        <f t="shared" si="2"/>
        <v/>
      </c>
      <c r="C27" s="170" t="str">
        <f t="shared" si="3"/>
        <v/>
      </c>
      <c r="D27" s="171">
        <f t="shared" si="0"/>
        <v>1</v>
      </c>
      <c r="E27" s="171" t="str">
        <f t="shared" si="1"/>
        <v>LUNES</v>
      </c>
      <c r="F27" s="70">
        <v>43542</v>
      </c>
      <c r="G27" s="105">
        <v>110.996</v>
      </c>
      <c r="H27" s="174">
        <f t="shared" si="4"/>
        <v>2.1104094269395698E-3</v>
      </c>
      <c r="I27" s="175"/>
      <c r="J27" s="175"/>
      <c r="K27" s="175"/>
      <c r="L27" s="175"/>
      <c r="M27" s="175"/>
      <c r="N27" s="73"/>
      <c r="O27" s="71"/>
    </row>
    <row r="28" spans="2:15" ht="11.25" customHeight="1" outlineLevel="1" x14ac:dyDescent="0.2">
      <c r="B28" s="169" t="str">
        <f t="shared" si="2"/>
        <v/>
      </c>
      <c r="C28" s="170" t="str">
        <f t="shared" si="3"/>
        <v/>
      </c>
      <c r="D28" s="171">
        <f t="shared" si="0"/>
        <v>2</v>
      </c>
      <c r="E28" s="171" t="str">
        <f t="shared" si="1"/>
        <v>MARTES</v>
      </c>
      <c r="F28" s="70">
        <v>43543</v>
      </c>
      <c r="G28" s="105">
        <v>111.227</v>
      </c>
      <c r="H28" s="174">
        <f t="shared" si="4"/>
        <v>2.0789934723463902E-3</v>
      </c>
      <c r="I28" s="175"/>
      <c r="J28" s="175"/>
      <c r="K28" s="175"/>
      <c r="L28" s="175"/>
      <c r="M28" s="175"/>
      <c r="N28" s="73"/>
      <c r="O28" s="71"/>
    </row>
    <row r="29" spans="2:15" ht="11.25" customHeight="1" outlineLevel="1" x14ac:dyDescent="0.2">
      <c r="B29" s="169" t="str">
        <f t="shared" si="2"/>
        <v/>
      </c>
      <c r="C29" s="170" t="str">
        <f t="shared" si="3"/>
        <v/>
      </c>
      <c r="D29" s="171">
        <f t="shared" si="0"/>
        <v>3</v>
      </c>
      <c r="E29" s="171" t="str">
        <f t="shared" si="1"/>
        <v>MIERCOLES</v>
      </c>
      <c r="F29" s="70">
        <v>43544</v>
      </c>
      <c r="G29" s="105">
        <v>111.533</v>
      </c>
      <c r="H29" s="174">
        <f t="shared" si="4"/>
        <v>2.7473531376609101E-3</v>
      </c>
      <c r="I29" s="175"/>
      <c r="J29" s="175"/>
      <c r="K29" s="175"/>
      <c r="L29" s="175"/>
      <c r="M29" s="175"/>
      <c r="N29" s="73"/>
      <c r="O29" s="71"/>
    </row>
    <row r="30" spans="2:15" ht="11.25" customHeight="1" outlineLevel="1" x14ac:dyDescent="0.2">
      <c r="B30" s="169" t="str">
        <f t="shared" si="2"/>
        <v/>
      </c>
      <c r="C30" s="170" t="str">
        <f t="shared" si="3"/>
        <v/>
      </c>
      <c r="D30" s="171">
        <f t="shared" si="0"/>
        <v>4</v>
      </c>
      <c r="E30" s="171" t="str">
        <f t="shared" si="1"/>
        <v>JUEVES</v>
      </c>
      <c r="F30" s="70">
        <v>43545</v>
      </c>
      <c r="G30" s="105">
        <v>110.752</v>
      </c>
      <c r="H30" s="174">
        <f t="shared" si="4"/>
        <v>-7.0270437840581597E-3</v>
      </c>
      <c r="I30" s="175"/>
      <c r="J30" s="175"/>
      <c r="K30" s="175"/>
      <c r="L30" s="175"/>
      <c r="M30" s="175"/>
      <c r="N30" s="73"/>
      <c r="O30" s="71"/>
    </row>
    <row r="31" spans="2:15" ht="11.25" customHeight="1" outlineLevel="1" x14ac:dyDescent="0.2">
      <c r="B31" s="169" t="str">
        <f t="shared" si="2"/>
        <v/>
      </c>
      <c r="C31" s="170" t="str">
        <f t="shared" si="3"/>
        <v/>
      </c>
      <c r="D31" s="171">
        <f t="shared" si="0"/>
        <v>5</v>
      </c>
      <c r="E31" s="171" t="str">
        <f t="shared" si="1"/>
        <v>VIERNES</v>
      </c>
      <c r="F31" s="70">
        <v>43546</v>
      </c>
      <c r="G31" s="105">
        <v>111.245</v>
      </c>
      <c r="H31" s="174">
        <f t="shared" si="4"/>
        <v>4.4415087631875403E-3</v>
      </c>
      <c r="I31" s="175"/>
      <c r="J31" s="175"/>
      <c r="K31" s="175"/>
      <c r="L31" s="175"/>
      <c r="M31" s="175"/>
      <c r="N31" s="73"/>
      <c r="O31" s="71"/>
    </row>
    <row r="32" spans="2:15" ht="11.25" customHeight="1" outlineLevel="1" x14ac:dyDescent="0.2">
      <c r="B32" s="169" t="str">
        <f t="shared" si="2"/>
        <v/>
      </c>
      <c r="C32" s="170" t="str">
        <f t="shared" si="3"/>
        <v/>
      </c>
      <c r="D32" s="171">
        <f t="shared" si="0"/>
        <v>1</v>
      </c>
      <c r="E32" s="171" t="str">
        <f t="shared" si="1"/>
        <v>LUNES</v>
      </c>
      <c r="F32" s="70">
        <v>43549</v>
      </c>
      <c r="G32" s="105">
        <v>111.151</v>
      </c>
      <c r="H32" s="174">
        <f t="shared" si="4"/>
        <v>-8.4533899528496995E-4</v>
      </c>
      <c r="I32" s="175"/>
      <c r="J32" s="175"/>
      <c r="K32" s="175"/>
      <c r="L32" s="175"/>
      <c r="M32" s="175"/>
      <c r="N32" s="73"/>
      <c r="O32" s="71"/>
    </row>
    <row r="33" spans="2:15" ht="11.25" customHeight="1" outlineLevel="1" x14ac:dyDescent="0.2">
      <c r="B33" s="169" t="str">
        <f t="shared" si="2"/>
        <v/>
      </c>
      <c r="C33" s="170" t="str">
        <f t="shared" si="3"/>
        <v/>
      </c>
      <c r="D33" s="171">
        <f t="shared" si="0"/>
        <v>2</v>
      </c>
      <c r="E33" s="171" t="str">
        <f t="shared" si="1"/>
        <v>MARTES</v>
      </c>
      <c r="F33" s="70">
        <v>43550</v>
      </c>
      <c r="G33" s="105">
        <v>111.449</v>
      </c>
      <c r="H33" s="174">
        <f t="shared" si="4"/>
        <v>2.6774499373193399E-3</v>
      </c>
      <c r="I33" s="175"/>
      <c r="J33" s="175"/>
      <c r="K33" s="175"/>
      <c r="L33" s="175"/>
      <c r="M33" s="175"/>
      <c r="N33" s="73"/>
      <c r="O33" s="71"/>
    </row>
    <row r="34" spans="2:15" ht="11.25" customHeight="1" outlineLevel="1" x14ac:dyDescent="0.2">
      <c r="B34" s="169" t="str">
        <f t="shared" si="2"/>
        <v/>
      </c>
      <c r="C34" s="170" t="str">
        <f t="shared" si="3"/>
        <v/>
      </c>
      <c r="D34" s="171">
        <f t="shared" si="0"/>
        <v>3</v>
      </c>
      <c r="E34" s="171" t="str">
        <f t="shared" si="1"/>
        <v>MIERCOLES</v>
      </c>
      <c r="F34" s="70">
        <v>43551</v>
      </c>
      <c r="G34" s="105">
        <v>111.18899999999999</v>
      </c>
      <c r="H34" s="174">
        <f t="shared" si="4"/>
        <v>-2.3356310979743E-3</v>
      </c>
      <c r="I34" s="175"/>
      <c r="J34" s="175"/>
      <c r="K34" s="175"/>
      <c r="L34" s="175"/>
      <c r="M34" s="175"/>
      <c r="N34" s="73"/>
      <c r="O34" s="71"/>
    </row>
    <row r="35" spans="2:15" ht="11.25" customHeight="1" outlineLevel="1" x14ac:dyDescent="0.2">
      <c r="B35" s="169" t="str">
        <f t="shared" si="2"/>
        <v/>
      </c>
      <c r="C35" s="170" t="str">
        <f t="shared" si="3"/>
        <v/>
      </c>
      <c r="D35" s="171">
        <f t="shared" si="0"/>
        <v>4</v>
      </c>
      <c r="E35" s="171" t="str">
        <f t="shared" si="1"/>
        <v>JUEVES</v>
      </c>
      <c r="F35" s="70">
        <v>43552</v>
      </c>
      <c r="G35" s="105">
        <v>110.991</v>
      </c>
      <c r="H35" s="174">
        <f t="shared" si="4"/>
        <v>-1.7823391161768301E-3</v>
      </c>
      <c r="I35" s="175"/>
      <c r="J35" s="175"/>
      <c r="K35" s="175"/>
      <c r="L35" s="175"/>
      <c r="M35" s="175"/>
      <c r="N35" s="73"/>
      <c r="O35" s="71"/>
    </row>
    <row r="36" spans="2:15" ht="11.25" customHeight="1" outlineLevel="1" x14ac:dyDescent="0.2">
      <c r="B36" s="169" t="str">
        <f t="shared" si="2"/>
        <v/>
      </c>
      <c r="C36" s="170" t="str">
        <f t="shared" si="3"/>
        <v/>
      </c>
      <c r="D36" s="171">
        <f t="shared" si="0"/>
        <v>5</v>
      </c>
      <c r="E36" s="171" t="str">
        <f t="shared" si="1"/>
        <v>VIERNES</v>
      </c>
      <c r="F36" s="70">
        <v>43553</v>
      </c>
      <c r="G36" s="105">
        <v>111.291</v>
      </c>
      <c r="H36" s="174">
        <f t="shared" si="4"/>
        <v>2.69927553425096E-3</v>
      </c>
      <c r="I36" s="175"/>
      <c r="J36" s="175"/>
      <c r="K36" s="175"/>
      <c r="L36" s="175"/>
      <c r="M36" s="175"/>
      <c r="N36" s="73"/>
      <c r="O36" s="71"/>
    </row>
    <row r="37" spans="2:15" ht="11.25" customHeight="1" outlineLevel="1" x14ac:dyDescent="0.2">
      <c r="B37" s="169" t="str">
        <f t="shared" si="2"/>
        <v/>
      </c>
      <c r="C37" s="170" t="str">
        <f t="shared" si="3"/>
        <v>04</v>
      </c>
      <c r="D37" s="171">
        <f t="shared" si="0"/>
        <v>1</v>
      </c>
      <c r="E37" s="171" t="str">
        <f t="shared" si="1"/>
        <v>LUNES</v>
      </c>
      <c r="F37" s="70">
        <v>43556</v>
      </c>
      <c r="G37" s="105">
        <v>111.38800000000001</v>
      </c>
      <c r="H37" s="174">
        <f t="shared" si="4"/>
        <v>8.7120928453346999E-4</v>
      </c>
      <c r="I37" s="175"/>
      <c r="J37" s="175"/>
      <c r="K37" s="175"/>
      <c r="L37" s="175"/>
      <c r="M37" s="175"/>
      <c r="N37" s="73"/>
      <c r="O37" s="71"/>
    </row>
    <row r="38" spans="2:15" ht="11.25" customHeight="1" outlineLevel="1" x14ac:dyDescent="0.2">
      <c r="B38" s="169" t="str">
        <f t="shared" si="2"/>
        <v/>
      </c>
      <c r="C38" s="170" t="str">
        <f t="shared" si="3"/>
        <v/>
      </c>
      <c r="D38" s="171">
        <f t="shared" si="0"/>
        <v>2</v>
      </c>
      <c r="E38" s="171" t="str">
        <f t="shared" si="1"/>
        <v>MARTES</v>
      </c>
      <c r="F38" s="70">
        <v>43557</v>
      </c>
      <c r="G38" s="105">
        <v>111.19799999999999</v>
      </c>
      <c r="H38" s="174">
        <f t="shared" si="4"/>
        <v>-1.7072057195607799E-3</v>
      </c>
      <c r="I38" s="175"/>
      <c r="J38" s="175"/>
      <c r="K38" s="175"/>
      <c r="L38" s="175"/>
      <c r="M38" s="175"/>
      <c r="N38" s="73"/>
      <c r="O38" s="71"/>
    </row>
    <row r="39" spans="2:15" ht="11.25" customHeight="1" outlineLevel="1" x14ac:dyDescent="0.2">
      <c r="B39" s="169" t="str">
        <f t="shared" si="2"/>
        <v/>
      </c>
      <c r="C39" s="170" t="str">
        <f t="shared" si="3"/>
        <v/>
      </c>
      <c r="D39" s="171">
        <f t="shared" si="0"/>
        <v>3</v>
      </c>
      <c r="E39" s="171" t="str">
        <f t="shared" si="1"/>
        <v>MIERCOLES</v>
      </c>
      <c r="F39" s="70">
        <v>43558</v>
      </c>
      <c r="G39" s="105">
        <v>111.107</v>
      </c>
      <c r="H39" s="174">
        <f t="shared" si="4"/>
        <v>-8.1869508182729996E-4</v>
      </c>
      <c r="I39" s="175"/>
      <c r="J39" s="175"/>
      <c r="K39" s="175"/>
      <c r="L39" s="175"/>
      <c r="M39" s="175"/>
      <c r="N39" s="73"/>
      <c r="O39" s="71"/>
    </row>
    <row r="40" spans="2:15" ht="11.25" customHeight="1" outlineLevel="1" x14ac:dyDescent="0.2">
      <c r="B40" s="169" t="str">
        <f t="shared" si="2"/>
        <v/>
      </c>
      <c r="C40" s="170" t="str">
        <f t="shared" si="3"/>
        <v/>
      </c>
      <c r="D40" s="171">
        <f t="shared" si="0"/>
        <v>4</v>
      </c>
      <c r="E40" s="171" t="str">
        <f t="shared" si="1"/>
        <v>JUEVES</v>
      </c>
      <c r="F40" s="70">
        <v>43559</v>
      </c>
      <c r="G40" s="105">
        <v>111.066</v>
      </c>
      <c r="H40" s="174">
        <f t="shared" si="4"/>
        <v>-3.6908175579769998E-4</v>
      </c>
      <c r="I40" s="175"/>
      <c r="J40" s="175"/>
      <c r="K40" s="175"/>
      <c r="L40" s="175"/>
      <c r="M40" s="175"/>
      <c r="N40" s="73"/>
      <c r="O40" s="71"/>
    </row>
    <row r="41" spans="2:15" ht="11.25" customHeight="1" outlineLevel="1" x14ac:dyDescent="0.2">
      <c r="B41" s="169" t="str">
        <f t="shared" si="2"/>
        <v/>
      </c>
      <c r="C41" s="170" t="str">
        <f t="shared" si="3"/>
        <v/>
      </c>
      <c r="D41" s="171">
        <f t="shared" si="0"/>
        <v>5</v>
      </c>
      <c r="E41" s="171" t="str">
        <f t="shared" si="1"/>
        <v>VIERNES</v>
      </c>
      <c r="F41" s="70">
        <v>43560</v>
      </c>
      <c r="G41" s="105">
        <v>110.99299999999999</v>
      </c>
      <c r="H41" s="174">
        <f t="shared" si="4"/>
        <v>-6.5748294489061001E-4</v>
      </c>
      <c r="I41" s="175"/>
      <c r="J41" s="175"/>
      <c r="K41" s="175"/>
      <c r="L41" s="175"/>
      <c r="M41" s="175"/>
      <c r="N41" s="73"/>
      <c r="O41" s="71"/>
    </row>
    <row r="42" spans="2:15" ht="11.25" customHeight="1" outlineLevel="1" x14ac:dyDescent="0.2">
      <c r="B42" s="169" t="str">
        <f t="shared" si="2"/>
        <v/>
      </c>
      <c r="C42" s="170" t="str">
        <f t="shared" si="3"/>
        <v/>
      </c>
      <c r="D42" s="171">
        <f t="shared" si="0"/>
        <v>1</v>
      </c>
      <c r="E42" s="171" t="str">
        <f t="shared" si="1"/>
        <v>LUNES</v>
      </c>
      <c r="F42" s="70">
        <v>43563</v>
      </c>
      <c r="G42" s="105">
        <v>110.77800000000001</v>
      </c>
      <c r="H42" s="174">
        <f t="shared" si="4"/>
        <v>-1.9389376190513099E-3</v>
      </c>
      <c r="I42" s="175"/>
      <c r="J42" s="175"/>
      <c r="K42" s="175"/>
      <c r="L42" s="175"/>
      <c r="M42" s="175"/>
      <c r="N42" s="73"/>
      <c r="O42" s="71"/>
    </row>
    <row r="43" spans="2:15" ht="11.25" customHeight="1" outlineLevel="1" x14ac:dyDescent="0.2">
      <c r="B43" s="169" t="str">
        <f t="shared" si="2"/>
        <v/>
      </c>
      <c r="C43" s="170" t="str">
        <f t="shared" si="3"/>
        <v/>
      </c>
      <c r="D43" s="171">
        <f t="shared" si="0"/>
        <v>2</v>
      </c>
      <c r="E43" s="171" t="str">
        <f t="shared" si="1"/>
        <v>MARTES</v>
      </c>
      <c r="F43" s="70">
        <v>43564</v>
      </c>
      <c r="G43" s="105">
        <v>111.06399999999999</v>
      </c>
      <c r="H43" s="174">
        <f t="shared" si="4"/>
        <v>2.5784130908401001E-3</v>
      </c>
      <c r="I43" s="175"/>
      <c r="J43" s="175"/>
      <c r="K43" s="175"/>
      <c r="L43" s="175"/>
      <c r="M43" s="175"/>
      <c r="N43" s="73"/>
      <c r="O43" s="71"/>
    </row>
    <row r="44" spans="2:15" ht="11.25" customHeight="1" outlineLevel="1" x14ac:dyDescent="0.2">
      <c r="B44" s="169" t="str">
        <f t="shared" si="2"/>
        <v/>
      </c>
      <c r="C44" s="170" t="str">
        <f t="shared" si="3"/>
        <v/>
      </c>
      <c r="D44" s="171">
        <f t="shared" si="0"/>
        <v>3</v>
      </c>
      <c r="E44" s="171" t="str">
        <f t="shared" si="1"/>
        <v>MIERCOLES</v>
      </c>
      <c r="F44" s="70">
        <v>43565</v>
      </c>
      <c r="G44" s="105">
        <v>110.937</v>
      </c>
      <c r="H44" s="174">
        <f t="shared" si="4"/>
        <v>-1.1441391151765399E-3</v>
      </c>
      <c r="I44" s="175"/>
      <c r="J44" s="175"/>
      <c r="K44" s="175"/>
      <c r="L44" s="175"/>
      <c r="M44" s="175"/>
      <c r="N44" s="73"/>
      <c r="O44" s="71"/>
    </row>
    <row r="45" spans="2:15" ht="11.25" customHeight="1" outlineLevel="1" x14ac:dyDescent="0.2">
      <c r="B45" s="169" t="str">
        <f t="shared" si="2"/>
        <v/>
      </c>
      <c r="C45" s="170" t="str">
        <f t="shared" si="3"/>
        <v/>
      </c>
      <c r="D45" s="171">
        <f t="shared" si="0"/>
        <v>4</v>
      </c>
      <c r="E45" s="171" t="str">
        <f t="shared" si="1"/>
        <v>JUEVES</v>
      </c>
      <c r="F45" s="70">
        <v>43566</v>
      </c>
      <c r="G45" s="105">
        <v>110.99299999999999</v>
      </c>
      <c r="H45" s="174">
        <f t="shared" si="4"/>
        <v>5.0466364338774003E-4</v>
      </c>
      <c r="I45" s="175"/>
      <c r="J45" s="175"/>
      <c r="K45" s="175"/>
      <c r="L45" s="175"/>
      <c r="M45" s="175"/>
      <c r="N45" s="73"/>
      <c r="O45" s="71"/>
    </row>
    <row r="46" spans="2:15" ht="11.25" customHeight="1" outlineLevel="1" x14ac:dyDescent="0.2">
      <c r="B46" s="169" t="str">
        <f t="shared" si="2"/>
        <v/>
      </c>
      <c r="C46" s="170" t="str">
        <f t="shared" si="3"/>
        <v/>
      </c>
      <c r="D46" s="171">
        <f t="shared" si="0"/>
        <v>5</v>
      </c>
      <c r="E46" s="171" t="str">
        <f t="shared" si="1"/>
        <v>VIERNES</v>
      </c>
      <c r="F46" s="70">
        <v>43567</v>
      </c>
      <c r="G46" s="105">
        <v>110.67100000000001</v>
      </c>
      <c r="H46" s="174">
        <f t="shared" si="4"/>
        <v>-2.9053001524282202E-3</v>
      </c>
      <c r="I46" s="175"/>
      <c r="J46" s="175"/>
      <c r="K46" s="175"/>
      <c r="L46" s="175"/>
      <c r="M46" s="175"/>
      <c r="N46" s="73"/>
      <c r="O46" s="71"/>
    </row>
    <row r="47" spans="2:15" ht="11.25" customHeight="1" outlineLevel="1" x14ac:dyDescent="0.2">
      <c r="B47" s="169" t="str">
        <f t="shared" si="2"/>
        <v/>
      </c>
      <c r="C47" s="170" t="str">
        <f t="shared" si="3"/>
        <v/>
      </c>
      <c r="D47" s="171">
        <f t="shared" si="0"/>
        <v>1</v>
      </c>
      <c r="E47" s="171" t="str">
        <f t="shared" si="1"/>
        <v>LUNES</v>
      </c>
      <c r="F47" s="70">
        <v>43570</v>
      </c>
      <c r="G47" s="105">
        <v>110.98699999999999</v>
      </c>
      <c r="H47" s="174">
        <f t="shared" si="4"/>
        <v>2.8512412281875899E-3</v>
      </c>
      <c r="I47" s="175"/>
      <c r="J47" s="175"/>
      <c r="K47" s="175"/>
      <c r="L47" s="175"/>
      <c r="M47" s="175"/>
      <c r="N47" s="73"/>
      <c r="O47" s="71"/>
    </row>
    <row r="48" spans="2:15" ht="11.25" customHeight="1" outlineLevel="1" x14ac:dyDescent="0.2">
      <c r="B48" s="169" t="str">
        <f t="shared" si="2"/>
        <v/>
      </c>
      <c r="C48" s="170" t="str">
        <f t="shared" si="3"/>
        <v/>
      </c>
      <c r="D48" s="171">
        <f t="shared" si="0"/>
        <v>2</v>
      </c>
      <c r="E48" s="171" t="str">
        <f t="shared" si="1"/>
        <v>MARTES</v>
      </c>
      <c r="F48" s="70">
        <v>43571</v>
      </c>
      <c r="G48" s="105">
        <v>110.636</v>
      </c>
      <c r="H48" s="174">
        <f t="shared" si="4"/>
        <v>-3.16754392346443E-3</v>
      </c>
      <c r="I48" s="175"/>
      <c r="J48" s="175"/>
      <c r="K48" s="175"/>
      <c r="L48" s="175"/>
      <c r="M48" s="175"/>
      <c r="N48" s="73"/>
      <c r="O48" s="71"/>
    </row>
    <row r="49" spans="2:15" ht="11.25" customHeight="1" outlineLevel="1" x14ac:dyDescent="0.2">
      <c r="B49" s="169" t="str">
        <f t="shared" si="2"/>
        <v/>
      </c>
      <c r="C49" s="170" t="str">
        <f t="shared" si="3"/>
        <v/>
      </c>
      <c r="D49" s="171">
        <f t="shared" si="0"/>
        <v>3</v>
      </c>
      <c r="E49" s="171" t="str">
        <f t="shared" si="1"/>
        <v>MIERCOLES</v>
      </c>
      <c r="F49" s="70">
        <v>43572</v>
      </c>
      <c r="G49" s="105">
        <v>110.90900000000001</v>
      </c>
      <c r="H49" s="174">
        <f t="shared" si="4"/>
        <v>2.4645118434572901E-3</v>
      </c>
      <c r="I49" s="175"/>
      <c r="J49" s="175"/>
      <c r="K49" s="175"/>
      <c r="L49" s="175"/>
      <c r="M49" s="175"/>
      <c r="N49" s="73"/>
      <c r="O49" s="71"/>
    </row>
    <row r="50" spans="2:15" ht="11.25" customHeight="1" outlineLevel="1" x14ac:dyDescent="0.2">
      <c r="B50" s="169" t="str">
        <f t="shared" si="2"/>
        <v/>
      </c>
      <c r="C50" s="170" t="str">
        <f t="shared" si="3"/>
        <v/>
      </c>
      <c r="D50" s="171">
        <f t="shared" si="0"/>
        <v>4</v>
      </c>
      <c r="E50" s="171" t="str">
        <f t="shared" si="1"/>
        <v>JUEVES</v>
      </c>
      <c r="F50" s="70">
        <v>43573</v>
      </c>
      <c r="G50" s="105">
        <v>110.852</v>
      </c>
      <c r="H50" s="174">
        <f t="shared" si="4"/>
        <v>-5.1406695726718E-4</v>
      </c>
      <c r="I50" s="175"/>
      <c r="J50" s="175"/>
      <c r="K50" s="175"/>
      <c r="L50" s="175"/>
      <c r="M50" s="175"/>
      <c r="N50" s="73"/>
      <c r="O50" s="71"/>
    </row>
    <row r="51" spans="2:15" ht="11.25" customHeight="1" outlineLevel="1" x14ac:dyDescent="0.2">
      <c r="B51" s="169" t="str">
        <f t="shared" si="2"/>
        <v/>
      </c>
      <c r="C51" s="170" t="str">
        <f t="shared" si="3"/>
        <v/>
      </c>
      <c r="D51" s="171">
        <f t="shared" si="0"/>
        <v>5</v>
      </c>
      <c r="E51" s="171" t="str">
        <f t="shared" si="1"/>
        <v>VIERNES</v>
      </c>
      <c r="F51" s="70">
        <v>43574</v>
      </c>
      <c r="G51" s="105">
        <v>110.852</v>
      </c>
      <c r="H51" s="174">
        <f t="shared" si="4"/>
        <v>0</v>
      </c>
      <c r="I51" s="175"/>
      <c r="J51" s="175"/>
      <c r="K51" s="175"/>
      <c r="L51" s="175"/>
      <c r="M51" s="175"/>
      <c r="N51" s="73"/>
      <c r="O51" s="71"/>
    </row>
    <row r="52" spans="2:15" ht="11.25" customHeight="1" outlineLevel="1" x14ac:dyDescent="0.2">
      <c r="B52" s="169" t="str">
        <f t="shared" si="2"/>
        <v/>
      </c>
      <c r="C52" s="170" t="str">
        <f t="shared" si="3"/>
        <v/>
      </c>
      <c r="D52" s="171">
        <f t="shared" si="0"/>
        <v>1</v>
      </c>
      <c r="E52" s="171" t="str">
        <f t="shared" si="1"/>
        <v>LUNES</v>
      </c>
      <c r="F52" s="70">
        <v>43577</v>
      </c>
      <c r="G52" s="105">
        <v>110.759</v>
      </c>
      <c r="H52" s="174">
        <f t="shared" si="4"/>
        <v>-8.3930856734908002E-4</v>
      </c>
      <c r="I52" s="175"/>
      <c r="J52" s="175"/>
      <c r="K52" s="175"/>
      <c r="L52" s="175"/>
      <c r="M52" s="175"/>
      <c r="N52" s="73"/>
      <c r="O52" s="71"/>
    </row>
    <row r="53" spans="2:15" ht="11.25" customHeight="1" outlineLevel="1" x14ac:dyDescent="0.2">
      <c r="B53" s="169" t="str">
        <f t="shared" si="2"/>
        <v/>
      </c>
      <c r="C53" s="170" t="str">
        <f t="shared" si="3"/>
        <v/>
      </c>
      <c r="D53" s="171">
        <f t="shared" si="0"/>
        <v>2</v>
      </c>
      <c r="E53" s="171" t="str">
        <f t="shared" si="1"/>
        <v>MARTES</v>
      </c>
      <c r="F53" s="70">
        <v>43578</v>
      </c>
      <c r="G53" s="105">
        <v>111.108</v>
      </c>
      <c r="H53" s="174">
        <f t="shared" si="4"/>
        <v>3.14603152206203E-3</v>
      </c>
      <c r="I53" s="175"/>
      <c r="J53" s="175"/>
      <c r="K53" s="175"/>
      <c r="L53" s="175"/>
      <c r="M53" s="175"/>
      <c r="N53" s="73"/>
      <c r="O53" s="71"/>
    </row>
    <row r="54" spans="2:15" ht="11.25" customHeight="1" outlineLevel="1" x14ac:dyDescent="0.2">
      <c r="B54" s="169" t="str">
        <f t="shared" si="2"/>
        <v/>
      </c>
      <c r="C54" s="170" t="str">
        <f t="shared" si="3"/>
        <v/>
      </c>
      <c r="D54" s="171">
        <f t="shared" si="0"/>
        <v>3</v>
      </c>
      <c r="E54" s="171" t="str">
        <f t="shared" si="1"/>
        <v>MIERCOLES</v>
      </c>
      <c r="F54" s="70">
        <v>43579</v>
      </c>
      <c r="G54" s="105">
        <v>111.08499999999999</v>
      </c>
      <c r="H54" s="174">
        <f t="shared" si="4"/>
        <v>-2.0702722481951E-4</v>
      </c>
      <c r="I54" s="175"/>
      <c r="J54" s="175"/>
      <c r="K54" s="175"/>
      <c r="L54" s="175"/>
      <c r="M54" s="175"/>
      <c r="N54" s="73"/>
      <c r="O54" s="71"/>
    </row>
    <row r="55" spans="2:15" ht="11.25" customHeight="1" outlineLevel="1" x14ac:dyDescent="0.2">
      <c r="B55" s="169" t="str">
        <f t="shared" si="2"/>
        <v/>
      </c>
      <c r="C55" s="170" t="str">
        <f t="shared" si="3"/>
        <v/>
      </c>
      <c r="D55" s="171">
        <f t="shared" si="0"/>
        <v>4</v>
      </c>
      <c r="E55" s="171" t="str">
        <f t="shared" si="1"/>
        <v>JUEVES</v>
      </c>
      <c r="F55" s="70">
        <v>43580</v>
      </c>
      <c r="G55" s="105">
        <v>110.968</v>
      </c>
      <c r="H55" s="174">
        <f t="shared" si="4"/>
        <v>-1.05380256810187E-3</v>
      </c>
      <c r="I55" s="175"/>
      <c r="J55" s="175"/>
      <c r="K55" s="175"/>
      <c r="L55" s="175"/>
      <c r="M55" s="175"/>
      <c r="N55" s="73"/>
      <c r="O55" s="71"/>
    </row>
    <row r="56" spans="2:15" ht="11.25" customHeight="1" outlineLevel="1" x14ac:dyDescent="0.2">
      <c r="B56" s="169" t="str">
        <f t="shared" si="2"/>
        <v/>
      </c>
      <c r="C56" s="170" t="str">
        <f t="shared" si="3"/>
        <v/>
      </c>
      <c r="D56" s="171">
        <f t="shared" si="0"/>
        <v>5</v>
      </c>
      <c r="E56" s="171" t="str">
        <f t="shared" si="1"/>
        <v>VIERNES</v>
      </c>
      <c r="F56" s="70">
        <v>43581</v>
      </c>
      <c r="G56" s="105">
        <v>111.114</v>
      </c>
      <c r="H56" s="174">
        <f t="shared" si="4"/>
        <v>1.3148298469346099E-3</v>
      </c>
      <c r="I56" s="175"/>
      <c r="J56" s="175"/>
      <c r="K56" s="175"/>
      <c r="L56" s="175"/>
      <c r="M56" s="175"/>
      <c r="N56" s="73"/>
      <c r="O56" s="71"/>
    </row>
    <row r="57" spans="2:15" ht="11.25" customHeight="1" outlineLevel="1" x14ac:dyDescent="0.2">
      <c r="B57" s="169" t="str">
        <f t="shared" si="2"/>
        <v/>
      </c>
      <c r="C57" s="170" t="str">
        <f t="shared" si="3"/>
        <v/>
      </c>
      <c r="D57" s="171">
        <f t="shared" si="0"/>
        <v>1</v>
      </c>
      <c r="E57" s="171" t="str">
        <f t="shared" si="1"/>
        <v>LUNES</v>
      </c>
      <c r="F57" s="70">
        <v>43584</v>
      </c>
      <c r="G57" s="105">
        <v>110.90900000000001</v>
      </c>
      <c r="H57" s="174">
        <f t="shared" si="4"/>
        <v>-1.8466560514588501E-3</v>
      </c>
      <c r="I57" s="175"/>
      <c r="J57" s="175"/>
      <c r="K57" s="175"/>
      <c r="L57" s="175"/>
      <c r="M57" s="175"/>
      <c r="N57" s="73"/>
      <c r="O57" s="71"/>
    </row>
    <row r="58" spans="2:15" ht="11.25" customHeight="1" outlineLevel="1" x14ac:dyDescent="0.2">
      <c r="B58" s="169" t="str">
        <f t="shared" si="2"/>
        <v/>
      </c>
      <c r="C58" s="170" t="str">
        <f t="shared" si="3"/>
        <v/>
      </c>
      <c r="D58" s="171">
        <f t="shared" si="0"/>
        <v>2</v>
      </c>
      <c r="E58" s="171" t="str">
        <f t="shared" si="1"/>
        <v>MARTES</v>
      </c>
      <c r="F58" s="72">
        <v>43585</v>
      </c>
      <c r="G58" s="106">
        <v>110.904</v>
      </c>
      <c r="H58" s="174">
        <f t="shared" si="4"/>
        <v>-4.508302038973E-5</v>
      </c>
      <c r="I58" s="175"/>
      <c r="J58" s="175"/>
      <c r="K58" s="175"/>
      <c r="L58" s="175"/>
      <c r="M58" s="175"/>
      <c r="N58" s="73"/>
      <c r="O58" s="71"/>
    </row>
    <row r="59" spans="2:15" ht="11.25" customHeight="1" outlineLevel="1" x14ac:dyDescent="0.2">
      <c r="B59" s="169" t="str">
        <f t="shared" si="2"/>
        <v/>
      </c>
      <c r="C59" s="170" t="str">
        <f t="shared" si="3"/>
        <v>05</v>
      </c>
      <c r="D59" s="171">
        <f t="shared" si="0"/>
        <v>3</v>
      </c>
      <c r="E59" s="171" t="str">
        <f t="shared" si="1"/>
        <v>MIERCOLES</v>
      </c>
      <c r="F59" s="70">
        <v>43586</v>
      </c>
      <c r="G59" s="105">
        <v>110.89100000000001</v>
      </c>
      <c r="H59" s="174">
        <f t="shared" si="4"/>
        <v>-1.1722536589986E-4</v>
      </c>
      <c r="I59" s="175"/>
      <c r="J59" s="175"/>
      <c r="K59" s="175"/>
      <c r="L59" s="175"/>
      <c r="M59" s="175"/>
      <c r="N59" s="73"/>
      <c r="O59" s="71"/>
    </row>
    <row r="60" spans="2:15" ht="11.25" customHeight="1" outlineLevel="1" x14ac:dyDescent="0.2">
      <c r="B60" s="169" t="str">
        <f t="shared" si="2"/>
        <v/>
      </c>
      <c r="C60" s="170" t="str">
        <f t="shared" si="3"/>
        <v/>
      </c>
      <c r="D60" s="171">
        <f t="shared" si="0"/>
        <v>4</v>
      </c>
      <c r="E60" s="171" t="str">
        <f t="shared" si="1"/>
        <v>JUEVES</v>
      </c>
      <c r="F60" s="70">
        <v>43587</v>
      </c>
      <c r="G60" s="105">
        <v>111.004</v>
      </c>
      <c r="H60" s="174">
        <f t="shared" si="4"/>
        <v>1.0184998289127199E-3</v>
      </c>
      <c r="I60" s="175"/>
      <c r="J60" s="175"/>
      <c r="K60" s="175"/>
      <c r="L60" s="175"/>
      <c r="M60" s="175"/>
      <c r="N60" s="73"/>
      <c r="O60" s="71"/>
    </row>
    <row r="61" spans="2:15" ht="11.25" customHeight="1" outlineLevel="1" x14ac:dyDescent="0.2">
      <c r="B61" s="169" t="str">
        <f t="shared" si="2"/>
        <v/>
      </c>
      <c r="C61" s="170" t="str">
        <f t="shared" si="3"/>
        <v/>
      </c>
      <c r="D61" s="171">
        <f t="shared" si="0"/>
        <v>5</v>
      </c>
      <c r="E61" s="171" t="str">
        <f t="shared" si="1"/>
        <v>VIERNES</v>
      </c>
      <c r="F61" s="70">
        <v>43588</v>
      </c>
      <c r="G61" s="105">
        <v>111.054</v>
      </c>
      <c r="H61" s="174">
        <f t="shared" si="4"/>
        <v>4.5033280354678999E-4</v>
      </c>
      <c r="I61" s="175"/>
      <c r="J61" s="175"/>
      <c r="K61" s="175"/>
      <c r="L61" s="175"/>
      <c r="M61" s="175"/>
      <c r="N61" s="73"/>
      <c r="O61" s="71"/>
    </row>
    <row r="62" spans="2:15" ht="11.25" customHeight="1" outlineLevel="1" x14ac:dyDescent="0.2">
      <c r="B62" s="169" t="str">
        <f t="shared" si="2"/>
        <v/>
      </c>
      <c r="C62" s="170" t="str">
        <f t="shared" si="3"/>
        <v/>
      </c>
      <c r="D62" s="171">
        <f t="shared" si="0"/>
        <v>1</v>
      </c>
      <c r="E62" s="171" t="str">
        <f t="shared" si="1"/>
        <v>LUNES</v>
      </c>
      <c r="F62" s="70">
        <v>43591</v>
      </c>
      <c r="G62" s="105">
        <v>110.875</v>
      </c>
      <c r="H62" s="174">
        <f t="shared" si="4"/>
        <v>-1.6131288728910801E-3</v>
      </c>
      <c r="I62" s="175"/>
      <c r="J62" s="175"/>
      <c r="K62" s="175"/>
      <c r="L62" s="175"/>
      <c r="M62" s="175"/>
      <c r="N62" s="73"/>
      <c r="O62" s="71"/>
    </row>
    <row r="63" spans="2:15" ht="11.25" customHeight="1" outlineLevel="1" x14ac:dyDescent="0.2">
      <c r="B63" s="169" t="str">
        <f t="shared" si="2"/>
        <v/>
      </c>
      <c r="C63" s="170" t="str">
        <f t="shared" si="3"/>
        <v/>
      </c>
      <c r="D63" s="171">
        <f t="shared" si="0"/>
        <v>2</v>
      </c>
      <c r="E63" s="171" t="str">
        <f t="shared" si="1"/>
        <v>MARTES</v>
      </c>
      <c r="F63" s="70">
        <v>43592</v>
      </c>
      <c r="G63" s="105">
        <v>111.051</v>
      </c>
      <c r="H63" s="174">
        <f t="shared" si="4"/>
        <v>1.5861146228726599E-3</v>
      </c>
      <c r="I63" s="175"/>
      <c r="J63" s="175"/>
      <c r="K63" s="175"/>
      <c r="L63" s="175"/>
      <c r="M63" s="175"/>
      <c r="N63" s="73"/>
      <c r="O63" s="71"/>
    </row>
    <row r="64" spans="2:15" ht="11.25" customHeight="1" outlineLevel="1" x14ac:dyDescent="0.2">
      <c r="B64" s="169" t="str">
        <f t="shared" si="2"/>
        <v/>
      </c>
      <c r="C64" s="170" t="str">
        <f t="shared" si="3"/>
        <v/>
      </c>
      <c r="D64" s="171">
        <f t="shared" si="0"/>
        <v>3</v>
      </c>
      <c r="E64" s="171" t="str">
        <f t="shared" si="1"/>
        <v>MIERCOLES</v>
      </c>
      <c r="F64" s="70">
        <v>43593</v>
      </c>
      <c r="G64" s="105">
        <v>110.657</v>
      </c>
      <c r="H64" s="174">
        <f t="shared" si="4"/>
        <v>-3.5542282170085001E-3</v>
      </c>
      <c r="I64" s="175"/>
      <c r="J64" s="175"/>
      <c r="K64" s="175"/>
      <c r="L64" s="175"/>
      <c r="M64" s="175"/>
      <c r="N64" s="73"/>
      <c r="O64" s="71"/>
    </row>
    <row r="65" spans="2:15" ht="11.25" customHeight="1" outlineLevel="1" x14ac:dyDescent="0.2">
      <c r="B65" s="169" t="str">
        <f t="shared" si="2"/>
        <v/>
      </c>
      <c r="C65" s="170" t="str">
        <f t="shared" si="3"/>
        <v/>
      </c>
      <c r="D65" s="171">
        <f t="shared" si="0"/>
        <v>4</v>
      </c>
      <c r="E65" s="171" t="str">
        <f t="shared" si="1"/>
        <v>JUEVES</v>
      </c>
      <c r="F65" s="70">
        <v>43594</v>
      </c>
      <c r="G65" s="105">
        <v>110.729</v>
      </c>
      <c r="H65" s="174">
        <f t="shared" si="4"/>
        <v>6.5044765738119003E-4</v>
      </c>
      <c r="I65" s="175"/>
      <c r="J65" s="175"/>
      <c r="K65" s="175"/>
      <c r="L65" s="175"/>
      <c r="M65" s="175"/>
      <c r="N65" s="73"/>
      <c r="O65" s="71"/>
    </row>
    <row r="66" spans="2:15" ht="11.25" customHeight="1" outlineLevel="1" x14ac:dyDescent="0.2">
      <c r="B66" s="169" t="str">
        <f t="shared" si="2"/>
        <v/>
      </c>
      <c r="C66" s="170" t="str">
        <f t="shared" si="3"/>
        <v/>
      </c>
      <c r="D66" s="171">
        <f t="shared" si="0"/>
        <v>5</v>
      </c>
      <c r="E66" s="171" t="str">
        <f t="shared" si="1"/>
        <v>VIERNES</v>
      </c>
      <c r="F66" s="70">
        <v>43595</v>
      </c>
      <c r="G66" s="105">
        <v>110.58199999999999</v>
      </c>
      <c r="H66" s="174">
        <f t="shared" si="4"/>
        <v>-1.32844749351341E-3</v>
      </c>
      <c r="I66" s="175"/>
      <c r="J66" s="175"/>
      <c r="K66" s="175"/>
      <c r="L66" s="175"/>
      <c r="M66" s="175"/>
      <c r="N66" s="73"/>
      <c r="O66" s="71"/>
    </row>
    <row r="67" spans="2:15" ht="11.25" customHeight="1" outlineLevel="1" x14ac:dyDescent="0.2">
      <c r="B67" s="169" t="str">
        <f t="shared" si="2"/>
        <v/>
      </c>
      <c r="C67" s="170" t="str">
        <f t="shared" si="3"/>
        <v/>
      </c>
      <c r="D67" s="171">
        <f t="shared" si="0"/>
        <v>1</v>
      </c>
      <c r="E67" s="171" t="str">
        <f t="shared" si="1"/>
        <v>LUNES</v>
      </c>
      <c r="F67" s="70">
        <v>43598</v>
      </c>
      <c r="G67" s="105">
        <v>110.16200000000001</v>
      </c>
      <c r="H67" s="174">
        <f t="shared" si="4"/>
        <v>-3.8053175335712001E-3</v>
      </c>
      <c r="I67" s="175"/>
      <c r="J67" s="175"/>
      <c r="K67" s="175"/>
      <c r="L67" s="175"/>
      <c r="M67" s="175"/>
      <c r="N67" s="73"/>
      <c r="O67" s="71"/>
    </row>
    <row r="68" spans="2:15" ht="11.25" customHeight="1" outlineLevel="1" x14ac:dyDescent="0.2">
      <c r="B68" s="169" t="str">
        <f t="shared" si="2"/>
        <v/>
      </c>
      <c r="C68" s="170" t="str">
        <f t="shared" si="3"/>
        <v/>
      </c>
      <c r="D68" s="171">
        <f t="shared" si="0"/>
        <v>2</v>
      </c>
      <c r="E68" s="171" t="str">
        <f t="shared" si="1"/>
        <v>MARTES</v>
      </c>
      <c r="F68" s="70">
        <v>43599</v>
      </c>
      <c r="G68" s="105">
        <v>109.824</v>
      </c>
      <c r="H68" s="174">
        <f t="shared" si="4"/>
        <v>-3.0729252404618798E-3</v>
      </c>
      <c r="I68" s="175"/>
      <c r="J68" s="175"/>
      <c r="K68" s="175"/>
      <c r="L68" s="175"/>
      <c r="M68" s="175"/>
      <c r="N68" s="73"/>
      <c r="O68" s="71"/>
    </row>
    <row r="69" spans="2:15" ht="11.25" customHeight="1" outlineLevel="1" x14ac:dyDescent="0.2">
      <c r="B69" s="169" t="str">
        <f t="shared" si="2"/>
        <v/>
      </c>
      <c r="C69" s="170" t="str">
        <f t="shared" si="3"/>
        <v/>
      </c>
      <c r="D69" s="171">
        <f t="shared" si="0"/>
        <v>3</v>
      </c>
      <c r="E69" s="171" t="str">
        <f t="shared" si="1"/>
        <v>MIERCOLES</v>
      </c>
      <c r="F69" s="70">
        <v>43600</v>
      </c>
      <c r="G69" s="105">
        <v>110.09699999999999</v>
      </c>
      <c r="H69" s="174">
        <f t="shared" si="4"/>
        <v>2.4827109755562698E-3</v>
      </c>
      <c r="I69" s="175"/>
      <c r="J69" s="175"/>
      <c r="K69" s="175"/>
      <c r="L69" s="175"/>
      <c r="M69" s="175"/>
      <c r="N69" s="73"/>
      <c r="O69" s="71"/>
    </row>
    <row r="70" spans="2:15" ht="11.25" customHeight="1" outlineLevel="1" x14ac:dyDescent="0.2">
      <c r="B70" s="169" t="str">
        <f t="shared" si="2"/>
        <v/>
      </c>
      <c r="C70" s="170" t="str">
        <f t="shared" si="3"/>
        <v/>
      </c>
      <c r="D70" s="171">
        <f t="shared" si="0"/>
        <v>4</v>
      </c>
      <c r="E70" s="171" t="str">
        <f t="shared" si="1"/>
        <v>JUEVES</v>
      </c>
      <c r="F70" s="70">
        <v>43601</v>
      </c>
      <c r="G70" s="105">
        <v>110.557</v>
      </c>
      <c r="H70" s="174">
        <f t="shared" si="4"/>
        <v>4.1694296626572803E-3</v>
      </c>
      <c r="I70" s="175"/>
      <c r="J70" s="175"/>
      <c r="K70" s="175"/>
      <c r="L70" s="175"/>
      <c r="M70" s="175"/>
      <c r="N70" s="73"/>
      <c r="O70" s="71"/>
    </row>
    <row r="71" spans="2:15" ht="11.25" customHeight="1" outlineLevel="1" x14ac:dyDescent="0.2">
      <c r="B71" s="169" t="str">
        <f t="shared" si="2"/>
        <v/>
      </c>
      <c r="C71" s="170" t="str">
        <f t="shared" si="3"/>
        <v/>
      </c>
      <c r="D71" s="171">
        <f t="shared" si="0"/>
        <v>5</v>
      </c>
      <c r="E71" s="171" t="str">
        <f t="shared" si="1"/>
        <v>VIERNES</v>
      </c>
      <c r="F71" s="70">
        <v>43602</v>
      </c>
      <c r="G71" s="105">
        <v>110.494</v>
      </c>
      <c r="H71" s="174">
        <f t="shared" si="4"/>
        <v>-5.7000422260701001E-4</v>
      </c>
      <c r="I71" s="175"/>
      <c r="J71" s="175"/>
      <c r="K71" s="175"/>
      <c r="L71" s="175"/>
      <c r="M71" s="175"/>
      <c r="N71" s="73"/>
      <c r="O71" s="71"/>
    </row>
    <row r="72" spans="2:15" ht="11.25" customHeight="1" outlineLevel="1" x14ac:dyDescent="0.2">
      <c r="B72" s="169" t="str">
        <f t="shared" si="2"/>
        <v/>
      </c>
      <c r="C72" s="170" t="str">
        <f t="shared" si="3"/>
        <v/>
      </c>
      <c r="D72" s="171">
        <f t="shared" ref="D72:D100" si="5">WEEKDAY(F72,2)</f>
        <v>1</v>
      </c>
      <c r="E72" s="171" t="str">
        <f t="shared" ref="E72:E100" si="6">VLOOKUP(D72,$T$10:$U$16,2,0)</f>
        <v>LUNES</v>
      </c>
      <c r="F72" s="70">
        <v>43605</v>
      </c>
      <c r="G72" s="105">
        <v>110.036</v>
      </c>
      <c r="H72" s="174">
        <f t="shared" si="4"/>
        <v>-4.1536358633973503E-3</v>
      </c>
      <c r="I72" s="175"/>
      <c r="J72" s="175"/>
      <c r="K72" s="175"/>
      <c r="L72" s="175"/>
      <c r="M72" s="175"/>
      <c r="N72" s="73"/>
      <c r="O72" s="71"/>
    </row>
    <row r="73" spans="2:15" ht="11.25" customHeight="1" outlineLevel="1" x14ac:dyDescent="0.2">
      <c r="B73" s="169" t="str">
        <f t="shared" si="2"/>
        <v/>
      </c>
      <c r="C73" s="170" t="str">
        <f t="shared" si="3"/>
        <v/>
      </c>
      <c r="D73" s="171">
        <f t="shared" si="5"/>
        <v>2</v>
      </c>
      <c r="E73" s="171" t="str">
        <f t="shared" si="6"/>
        <v>MARTES</v>
      </c>
      <c r="F73" s="70">
        <v>43606</v>
      </c>
      <c r="G73" s="105">
        <v>110.242</v>
      </c>
      <c r="H73" s="174">
        <f t="shared" si="4"/>
        <v>1.87036435825205E-3</v>
      </c>
      <c r="I73" s="175"/>
      <c r="J73" s="175"/>
      <c r="K73" s="175"/>
      <c r="L73" s="175"/>
      <c r="M73" s="175"/>
      <c r="N73" s="73"/>
      <c r="O73" s="71"/>
    </row>
    <row r="74" spans="2:15" ht="11.25" customHeight="1" outlineLevel="1" x14ac:dyDescent="0.2">
      <c r="B74" s="169" t="str">
        <f t="shared" ref="B74:B100" si="7">IFERROR(IF(YEAR(F74)=YEAR(F73),"",YEAR(F74)),YEAR(F74))</f>
        <v/>
      </c>
      <c r="C74" s="170" t="str">
        <f t="shared" ref="C74:C100" si="8">IFERROR(IF(TEXT(F74,"mm")=TEXT(F73,"mm"),"",TEXT(F74,"mm")),TEXT(F74,"mm"))</f>
        <v/>
      </c>
      <c r="D74" s="171">
        <f t="shared" si="5"/>
        <v>3</v>
      </c>
      <c r="E74" s="171" t="str">
        <f t="shared" si="6"/>
        <v>MIERCOLES</v>
      </c>
      <c r="F74" s="70">
        <v>43607</v>
      </c>
      <c r="G74" s="105">
        <v>110.646</v>
      </c>
      <c r="H74" s="174">
        <f t="shared" ref="H74:H99" si="9">ROUND(LN(G74/G73),$I$4)</f>
        <v>3.6579664851335799E-3</v>
      </c>
      <c r="I74" s="175"/>
      <c r="J74" s="175"/>
      <c r="K74" s="175"/>
      <c r="L74" s="175"/>
      <c r="M74" s="175"/>
      <c r="N74" s="73"/>
      <c r="O74" s="71"/>
    </row>
    <row r="75" spans="2:15" ht="11.25" customHeight="1" outlineLevel="1" x14ac:dyDescent="0.2">
      <c r="B75" s="169" t="str">
        <f t="shared" si="7"/>
        <v/>
      </c>
      <c r="C75" s="170" t="str">
        <f t="shared" si="8"/>
        <v/>
      </c>
      <c r="D75" s="171">
        <f t="shared" si="5"/>
        <v>4</v>
      </c>
      <c r="E75" s="171" t="str">
        <f t="shared" si="6"/>
        <v>JUEVES</v>
      </c>
      <c r="F75" s="70">
        <v>43608</v>
      </c>
      <c r="G75" s="105">
        <v>110.733</v>
      </c>
      <c r="H75" s="174">
        <f t="shared" si="9"/>
        <v>7.8598245071876999E-4</v>
      </c>
      <c r="I75" s="175"/>
      <c r="J75" s="175"/>
      <c r="K75" s="175"/>
      <c r="L75" s="175"/>
      <c r="M75" s="175"/>
      <c r="N75" s="73"/>
      <c r="O75" s="71"/>
    </row>
    <row r="76" spans="2:15" ht="11.25" customHeight="1" outlineLevel="1" x14ac:dyDescent="0.2">
      <c r="B76" s="169" t="str">
        <f t="shared" si="7"/>
        <v/>
      </c>
      <c r="C76" s="170" t="str">
        <f t="shared" si="8"/>
        <v/>
      </c>
      <c r="D76" s="171">
        <f t="shared" si="5"/>
        <v>5</v>
      </c>
      <c r="E76" s="171" t="str">
        <f t="shared" si="6"/>
        <v>VIERNES</v>
      </c>
      <c r="F76" s="70">
        <v>43609</v>
      </c>
      <c r="G76" s="105">
        <v>110.57599999999999</v>
      </c>
      <c r="H76" s="174">
        <f t="shared" si="9"/>
        <v>-1.4188309227172601E-3</v>
      </c>
      <c r="I76" s="175"/>
      <c r="J76" s="175"/>
      <c r="K76" s="175"/>
      <c r="L76" s="175"/>
      <c r="M76" s="175"/>
      <c r="N76" s="73"/>
      <c r="O76" s="71"/>
    </row>
    <row r="77" spans="2:15" ht="11.25" customHeight="1" outlineLevel="1" x14ac:dyDescent="0.2">
      <c r="B77" s="169" t="str">
        <f t="shared" si="7"/>
        <v/>
      </c>
      <c r="C77" s="170" t="str">
        <f t="shared" si="8"/>
        <v/>
      </c>
      <c r="D77" s="171">
        <f t="shared" si="5"/>
        <v>1</v>
      </c>
      <c r="E77" s="171" t="str">
        <f t="shared" si="6"/>
        <v>LUNES</v>
      </c>
      <c r="F77" s="70">
        <v>43612</v>
      </c>
      <c r="G77" s="105">
        <v>110.57599999999999</v>
      </c>
      <c r="H77" s="174">
        <f t="shared" si="9"/>
        <v>0</v>
      </c>
      <c r="I77" s="175"/>
      <c r="J77" s="175"/>
      <c r="K77" s="175"/>
      <c r="L77" s="175"/>
      <c r="M77" s="175"/>
      <c r="N77" s="73"/>
      <c r="O77" s="71"/>
    </row>
    <row r="78" spans="2:15" ht="11.25" customHeight="1" outlineLevel="1" x14ac:dyDescent="0.2">
      <c r="B78" s="169" t="str">
        <f t="shared" si="7"/>
        <v/>
      </c>
      <c r="C78" s="170" t="str">
        <f t="shared" si="8"/>
        <v/>
      </c>
      <c r="D78" s="171">
        <f t="shared" si="5"/>
        <v>2</v>
      </c>
      <c r="E78" s="171" t="str">
        <f t="shared" si="6"/>
        <v>MARTES</v>
      </c>
      <c r="F78" s="70">
        <v>43613</v>
      </c>
      <c r="G78" s="105">
        <v>110.64100000000001</v>
      </c>
      <c r="H78" s="174">
        <f t="shared" si="9"/>
        <v>5.8765828910622997E-4</v>
      </c>
      <c r="I78" s="175"/>
      <c r="J78" s="175"/>
      <c r="K78" s="175"/>
      <c r="L78" s="175"/>
      <c r="M78" s="175"/>
      <c r="N78" s="73"/>
      <c r="O78" s="71"/>
    </row>
    <row r="79" spans="2:15" ht="11.25" customHeight="1" outlineLevel="1" x14ac:dyDescent="0.2">
      <c r="B79" s="169" t="str">
        <f t="shared" si="7"/>
        <v/>
      </c>
      <c r="C79" s="170" t="str">
        <f t="shared" si="8"/>
        <v/>
      </c>
      <c r="D79" s="171">
        <f t="shared" si="5"/>
        <v>3</v>
      </c>
      <c r="E79" s="171" t="str">
        <f t="shared" si="6"/>
        <v>MIERCOLES</v>
      </c>
      <c r="F79" s="70">
        <v>43614</v>
      </c>
      <c r="G79" s="105">
        <v>110.4</v>
      </c>
      <c r="H79" s="174">
        <f t="shared" si="9"/>
        <v>-2.1805917951497598E-3</v>
      </c>
      <c r="I79" s="175"/>
      <c r="J79" s="175"/>
      <c r="K79" s="175"/>
      <c r="L79" s="175"/>
      <c r="M79" s="175"/>
      <c r="N79" s="73"/>
      <c r="O79" s="71"/>
    </row>
    <row r="80" spans="2:15" ht="11.25" customHeight="1" outlineLevel="1" x14ac:dyDescent="0.2">
      <c r="B80" s="169" t="str">
        <f t="shared" si="7"/>
        <v/>
      </c>
      <c r="C80" s="170" t="str">
        <f t="shared" si="8"/>
        <v/>
      </c>
      <c r="D80" s="171">
        <f t="shared" si="5"/>
        <v>4</v>
      </c>
      <c r="E80" s="171" t="str">
        <f t="shared" si="6"/>
        <v>JUEVES</v>
      </c>
      <c r="F80" s="70">
        <v>43615</v>
      </c>
      <c r="G80" s="105">
        <v>110.873</v>
      </c>
      <c r="H80" s="174">
        <f t="shared" si="9"/>
        <v>4.27526829260165E-3</v>
      </c>
      <c r="I80" s="175"/>
      <c r="J80" s="175"/>
      <c r="K80" s="175"/>
      <c r="L80" s="175"/>
      <c r="M80" s="175"/>
      <c r="N80" s="73"/>
      <c r="O80" s="71"/>
    </row>
    <row r="81" spans="2:15" ht="11.25" customHeight="1" outlineLevel="1" x14ac:dyDescent="0.2">
      <c r="B81" s="169" t="str">
        <f t="shared" si="7"/>
        <v/>
      </c>
      <c r="C81" s="170" t="str">
        <f t="shared" si="8"/>
        <v/>
      </c>
      <c r="D81" s="171">
        <f t="shared" si="5"/>
        <v>5</v>
      </c>
      <c r="E81" s="171" t="str">
        <f t="shared" si="6"/>
        <v>VIERNES</v>
      </c>
      <c r="F81" s="70">
        <v>43616</v>
      </c>
      <c r="G81" s="105">
        <v>110.405</v>
      </c>
      <c r="H81" s="174">
        <f t="shared" si="9"/>
        <v>-4.2299794630837502E-3</v>
      </c>
      <c r="I81" s="175"/>
      <c r="J81" s="175"/>
      <c r="K81" s="175"/>
      <c r="L81" s="175"/>
      <c r="M81" s="175"/>
      <c r="N81" s="73"/>
      <c r="O81" s="71"/>
    </row>
    <row r="82" spans="2:15" ht="11.25" customHeight="1" outlineLevel="1" x14ac:dyDescent="0.2">
      <c r="B82" s="169" t="str">
        <f t="shared" si="7"/>
        <v/>
      </c>
      <c r="C82" s="170" t="str">
        <f t="shared" si="8"/>
        <v>06</v>
      </c>
      <c r="D82" s="171">
        <f t="shared" si="5"/>
        <v>1</v>
      </c>
      <c r="E82" s="171" t="str">
        <f t="shared" si="6"/>
        <v>LUNES</v>
      </c>
      <c r="F82" s="70">
        <v>43619</v>
      </c>
      <c r="G82" s="105">
        <v>110.325</v>
      </c>
      <c r="H82" s="174">
        <f t="shared" si="9"/>
        <v>-7.2486751690194998E-4</v>
      </c>
      <c r="I82" s="175"/>
      <c r="J82" s="175"/>
      <c r="K82" s="175"/>
      <c r="L82" s="175"/>
      <c r="M82" s="175"/>
      <c r="N82" s="73"/>
      <c r="O82" s="71"/>
    </row>
    <row r="83" spans="2:15" ht="11.25" customHeight="1" outlineLevel="1" x14ac:dyDescent="0.2">
      <c r="B83" s="169" t="str">
        <f t="shared" si="7"/>
        <v/>
      </c>
      <c r="C83" s="170" t="str">
        <f t="shared" si="8"/>
        <v/>
      </c>
      <c r="D83" s="171">
        <f t="shared" si="5"/>
        <v>2</v>
      </c>
      <c r="E83" s="171" t="str">
        <f t="shared" si="6"/>
        <v>MARTES</v>
      </c>
      <c r="F83" s="70">
        <v>43620</v>
      </c>
      <c r="G83" s="105">
        <v>110.30500000000001</v>
      </c>
      <c r="H83" s="174">
        <f t="shared" si="9"/>
        <v>-1.8129900788455E-4</v>
      </c>
      <c r="I83" s="175"/>
      <c r="J83" s="175"/>
      <c r="K83" s="175"/>
      <c r="L83" s="175"/>
      <c r="M83" s="175"/>
      <c r="N83" s="73"/>
      <c r="O83" s="71"/>
    </row>
    <row r="84" spans="2:15" ht="11.25" customHeight="1" outlineLevel="1" x14ac:dyDescent="0.2">
      <c r="B84" s="169" t="str">
        <f t="shared" si="7"/>
        <v/>
      </c>
      <c r="C84" s="170" t="str">
        <f t="shared" si="8"/>
        <v/>
      </c>
      <c r="D84" s="171">
        <f t="shared" si="5"/>
        <v>3</v>
      </c>
      <c r="E84" s="171" t="str">
        <f t="shared" si="6"/>
        <v>MIERCOLES</v>
      </c>
      <c r="F84" s="70">
        <v>43621</v>
      </c>
      <c r="G84" s="105">
        <v>110.38800000000001</v>
      </c>
      <c r="H84" s="174">
        <f t="shared" si="9"/>
        <v>7.5217613529419004E-4</v>
      </c>
      <c r="I84" s="175"/>
      <c r="J84" s="175"/>
      <c r="K84" s="175"/>
      <c r="L84" s="175"/>
      <c r="M84" s="175"/>
      <c r="N84" s="73"/>
      <c r="O84" s="71"/>
    </row>
    <row r="85" spans="2:15" ht="11.25" customHeight="1" outlineLevel="1" x14ac:dyDescent="0.2">
      <c r="B85" s="169" t="str">
        <f t="shared" si="7"/>
        <v/>
      </c>
      <c r="C85" s="170" t="str">
        <f t="shared" si="8"/>
        <v/>
      </c>
      <c r="D85" s="171">
        <f t="shared" si="5"/>
        <v>4</v>
      </c>
      <c r="E85" s="171" t="str">
        <f t="shared" si="6"/>
        <v>JUEVES</v>
      </c>
      <c r="F85" s="70">
        <v>43622</v>
      </c>
      <c r="G85" s="105">
        <v>111.283</v>
      </c>
      <c r="H85" s="174">
        <f t="shared" si="9"/>
        <v>8.0750739910652094E-3</v>
      </c>
      <c r="I85" s="175"/>
      <c r="J85" s="175"/>
      <c r="K85" s="175"/>
      <c r="L85" s="175"/>
      <c r="M85" s="175"/>
      <c r="N85" s="73"/>
      <c r="O85" s="71"/>
    </row>
    <row r="86" spans="2:15" ht="11.25" customHeight="1" outlineLevel="1" x14ac:dyDescent="0.2">
      <c r="B86" s="169" t="str">
        <f t="shared" si="7"/>
        <v/>
      </c>
      <c r="C86" s="170" t="str">
        <f t="shared" si="8"/>
        <v/>
      </c>
      <c r="D86" s="171">
        <f t="shared" si="5"/>
        <v>5</v>
      </c>
      <c r="E86" s="171" t="str">
        <f t="shared" si="6"/>
        <v>VIERNES</v>
      </c>
      <c r="F86" s="70">
        <v>43623</v>
      </c>
      <c r="G86" s="105">
        <v>111.535</v>
      </c>
      <c r="H86" s="174">
        <f t="shared" si="9"/>
        <v>2.2619367146595698E-3</v>
      </c>
      <c r="I86" s="175"/>
      <c r="J86" s="107"/>
      <c r="K86" s="175"/>
      <c r="L86" s="175"/>
      <c r="M86" s="175"/>
      <c r="N86" s="73"/>
      <c r="O86" s="71"/>
    </row>
    <row r="87" spans="2:15" ht="11.25" customHeight="1" outlineLevel="1" x14ac:dyDescent="0.2">
      <c r="B87" s="169" t="str">
        <f t="shared" si="7"/>
        <v/>
      </c>
      <c r="C87" s="170" t="str">
        <f t="shared" si="8"/>
        <v/>
      </c>
      <c r="D87" s="171">
        <f t="shared" si="5"/>
        <v>1</v>
      </c>
      <c r="E87" s="171" t="str">
        <f t="shared" si="6"/>
        <v>LUNES</v>
      </c>
      <c r="F87" s="70">
        <v>43626</v>
      </c>
      <c r="G87" s="105">
        <v>111.63200000000001</v>
      </c>
      <c r="H87" s="174">
        <f t="shared" si="9"/>
        <v>8.6930420813568002E-4</v>
      </c>
      <c r="I87" s="175"/>
      <c r="J87" s="107"/>
      <c r="K87" s="175"/>
      <c r="L87" s="175"/>
      <c r="M87" s="175"/>
      <c r="N87" s="73"/>
      <c r="O87" s="71"/>
    </row>
    <row r="88" spans="2:15" ht="11.25" customHeight="1" outlineLevel="1" x14ac:dyDescent="0.2">
      <c r="B88" s="169" t="str">
        <f t="shared" si="7"/>
        <v/>
      </c>
      <c r="C88" s="170" t="str">
        <f t="shared" si="8"/>
        <v/>
      </c>
      <c r="D88" s="171">
        <f t="shared" si="5"/>
        <v>2</v>
      </c>
      <c r="E88" s="171" t="str">
        <f t="shared" si="6"/>
        <v>MARTES</v>
      </c>
      <c r="F88" s="70">
        <v>43627</v>
      </c>
      <c r="G88" s="105">
        <v>111.86499999999999</v>
      </c>
      <c r="H88" s="174">
        <f t="shared" si="9"/>
        <v>2.0850399281586601E-3</v>
      </c>
      <c r="I88" s="175"/>
      <c r="J88" s="107"/>
      <c r="K88" s="175"/>
      <c r="L88" s="175"/>
      <c r="M88" s="175"/>
      <c r="N88" s="73"/>
      <c r="O88" s="71"/>
    </row>
    <row r="89" spans="2:15" ht="11.25" customHeight="1" outlineLevel="1" x14ac:dyDescent="0.2">
      <c r="B89" s="169" t="str">
        <f t="shared" si="7"/>
        <v/>
      </c>
      <c r="C89" s="170" t="str">
        <f t="shared" si="8"/>
        <v/>
      </c>
      <c r="D89" s="171">
        <f t="shared" si="5"/>
        <v>3</v>
      </c>
      <c r="E89" s="171" t="str">
        <f t="shared" si="6"/>
        <v>MIERCOLES</v>
      </c>
      <c r="F89" s="70">
        <v>43628</v>
      </c>
      <c r="G89" s="105">
        <v>111.706</v>
      </c>
      <c r="H89" s="174">
        <f t="shared" si="9"/>
        <v>-1.42236718363686E-3</v>
      </c>
      <c r="I89" s="175"/>
      <c r="J89" s="107"/>
      <c r="K89" s="175"/>
      <c r="L89" s="175"/>
      <c r="M89" s="175"/>
      <c r="N89" s="73"/>
      <c r="O89" s="71"/>
    </row>
    <row r="90" spans="2:15" ht="11.25" customHeight="1" outlineLevel="1" x14ac:dyDescent="0.2">
      <c r="B90" s="169" t="str">
        <f t="shared" si="7"/>
        <v/>
      </c>
      <c r="C90" s="170" t="str">
        <f t="shared" si="8"/>
        <v/>
      </c>
      <c r="D90" s="171">
        <f t="shared" si="5"/>
        <v>4</v>
      </c>
      <c r="E90" s="171" t="str">
        <f t="shared" si="6"/>
        <v>JUEVES</v>
      </c>
      <c r="F90" s="70">
        <v>43629</v>
      </c>
      <c r="G90" s="105">
        <v>112.13200000000001</v>
      </c>
      <c r="H90" s="174">
        <f t="shared" si="9"/>
        <v>3.80632881216607E-3</v>
      </c>
      <c r="I90" s="175"/>
      <c r="J90" s="107"/>
      <c r="K90" s="175"/>
      <c r="L90" s="175"/>
      <c r="M90" s="175"/>
      <c r="N90" s="73"/>
      <c r="O90" s="71"/>
    </row>
    <row r="91" spans="2:15" ht="11.25" customHeight="1" outlineLevel="1" x14ac:dyDescent="0.2">
      <c r="B91" s="169" t="str">
        <f t="shared" si="7"/>
        <v/>
      </c>
      <c r="C91" s="170" t="str">
        <f t="shared" si="8"/>
        <v/>
      </c>
      <c r="D91" s="171">
        <f t="shared" si="5"/>
        <v>5</v>
      </c>
      <c r="E91" s="171" t="str">
        <f t="shared" si="6"/>
        <v>VIERNES</v>
      </c>
      <c r="F91" s="70">
        <v>43630</v>
      </c>
      <c r="G91" s="105">
        <v>112.17100000000001</v>
      </c>
      <c r="H91" s="174">
        <f t="shared" si="9"/>
        <v>3.4774390349672998E-4</v>
      </c>
      <c r="I91" s="175"/>
      <c r="J91" s="107"/>
      <c r="K91" s="175"/>
      <c r="L91" s="175"/>
      <c r="M91" s="175"/>
      <c r="N91" s="73"/>
      <c r="O91" s="71"/>
    </row>
    <row r="92" spans="2:15" ht="11.25" customHeight="1" outlineLevel="1" x14ac:dyDescent="0.2">
      <c r="B92" s="169" t="str">
        <f t="shared" si="7"/>
        <v/>
      </c>
      <c r="C92" s="170" t="str">
        <f t="shared" si="8"/>
        <v/>
      </c>
      <c r="D92" s="171">
        <f t="shared" si="5"/>
        <v>1</v>
      </c>
      <c r="E92" s="171" t="str">
        <f t="shared" si="6"/>
        <v>LUNES</v>
      </c>
      <c r="F92" s="70">
        <v>43633</v>
      </c>
      <c r="G92" s="105">
        <v>112.34399999999999</v>
      </c>
      <c r="H92" s="174">
        <f t="shared" si="9"/>
        <v>1.54110000881384E-3</v>
      </c>
      <c r="I92" s="175"/>
      <c r="J92" s="107"/>
      <c r="K92" s="175"/>
      <c r="L92" s="175"/>
      <c r="M92" s="175"/>
      <c r="N92" s="73"/>
      <c r="O92" s="71"/>
    </row>
    <row r="93" spans="2:15" ht="11.25" customHeight="1" outlineLevel="1" x14ac:dyDescent="0.2">
      <c r="B93" s="169" t="str">
        <f t="shared" si="7"/>
        <v/>
      </c>
      <c r="C93" s="170" t="str">
        <f t="shared" si="8"/>
        <v/>
      </c>
      <c r="D93" s="171">
        <f t="shared" si="5"/>
        <v>2</v>
      </c>
      <c r="E93" s="171" t="str">
        <f t="shared" si="6"/>
        <v>MARTES</v>
      </c>
      <c r="F93" s="70">
        <v>43634</v>
      </c>
      <c r="G93" s="105">
        <v>113.82299999999999</v>
      </c>
      <c r="H93" s="174">
        <f t="shared" si="9"/>
        <v>1.3079017568179601E-2</v>
      </c>
      <c r="I93" s="175"/>
      <c r="J93" s="107"/>
      <c r="K93" s="175"/>
      <c r="L93" s="175"/>
      <c r="M93" s="175"/>
      <c r="N93" s="73"/>
      <c r="O93" s="71"/>
    </row>
    <row r="94" spans="2:15" ht="11.25" customHeight="1" outlineLevel="1" x14ac:dyDescent="0.2">
      <c r="B94" s="169" t="str">
        <f t="shared" si="7"/>
        <v/>
      </c>
      <c r="C94" s="170" t="str">
        <f t="shared" si="8"/>
        <v/>
      </c>
      <c r="D94" s="171">
        <f t="shared" si="5"/>
        <v>3</v>
      </c>
      <c r="E94" s="171" t="str">
        <f t="shared" si="6"/>
        <v>MIERCOLES</v>
      </c>
      <c r="F94" s="70">
        <v>43635</v>
      </c>
      <c r="G94" s="105">
        <v>114.65</v>
      </c>
      <c r="H94" s="174">
        <f t="shared" si="9"/>
        <v>7.2393990698549201E-3</v>
      </c>
      <c r="I94" s="175"/>
      <c r="J94" s="107"/>
      <c r="K94" s="175"/>
      <c r="L94" s="175"/>
      <c r="M94" s="175"/>
      <c r="N94" s="73"/>
      <c r="O94" s="71"/>
    </row>
    <row r="95" spans="2:15" ht="11.25" customHeight="1" outlineLevel="1" x14ac:dyDescent="0.2">
      <c r="B95" s="169" t="str">
        <f t="shared" si="7"/>
        <v/>
      </c>
      <c r="C95" s="170" t="str">
        <f t="shared" si="8"/>
        <v/>
      </c>
      <c r="D95" s="171">
        <f t="shared" si="5"/>
        <v>4</v>
      </c>
      <c r="E95" s="171" t="str">
        <f t="shared" si="6"/>
        <v>JUEVES</v>
      </c>
      <c r="F95" s="70">
        <v>43636</v>
      </c>
      <c r="G95" s="105">
        <v>115.501</v>
      </c>
      <c r="H95" s="174">
        <f t="shared" si="9"/>
        <v>7.39517862911251E-3</v>
      </c>
      <c r="I95" s="175"/>
      <c r="J95" s="107"/>
      <c r="K95" s="175"/>
      <c r="L95" s="175"/>
      <c r="M95" s="175"/>
      <c r="N95" s="73"/>
      <c r="O95" s="71"/>
    </row>
    <row r="96" spans="2:15" ht="11.25" customHeight="1" outlineLevel="1" x14ac:dyDescent="0.2">
      <c r="B96" s="169" t="str">
        <f t="shared" si="7"/>
        <v/>
      </c>
      <c r="C96" s="170" t="str">
        <f t="shared" si="8"/>
        <v/>
      </c>
      <c r="D96" s="171">
        <f t="shared" si="5"/>
        <v>5</v>
      </c>
      <c r="E96" s="171" t="str">
        <f t="shared" si="6"/>
        <v>VIERNES</v>
      </c>
      <c r="F96" s="70">
        <v>43637</v>
      </c>
      <c r="G96" s="105">
        <v>114.471</v>
      </c>
      <c r="H96" s="174">
        <f t="shared" si="9"/>
        <v>-8.9576721274590397E-3</v>
      </c>
      <c r="I96" s="175"/>
      <c r="J96" s="107"/>
      <c r="K96" s="175"/>
      <c r="L96" s="175"/>
      <c r="M96" s="175"/>
      <c r="N96" s="73"/>
      <c r="O96" s="71"/>
    </row>
    <row r="97" spans="2:15" ht="11.25" customHeight="1" outlineLevel="1" x14ac:dyDescent="0.2">
      <c r="B97" s="169" t="str">
        <f t="shared" si="7"/>
        <v/>
      </c>
      <c r="C97" s="170" t="str">
        <f t="shared" si="8"/>
        <v/>
      </c>
      <c r="D97" s="171">
        <f t="shared" si="5"/>
        <v>1</v>
      </c>
      <c r="E97" s="171" t="str">
        <f t="shared" si="6"/>
        <v>LUNES</v>
      </c>
      <c r="F97" s="70">
        <v>43640</v>
      </c>
      <c r="G97" s="105">
        <v>114.51600000000001</v>
      </c>
      <c r="H97" s="174">
        <f t="shared" si="9"/>
        <v>3.9303541755024001E-4</v>
      </c>
      <c r="I97" s="175"/>
      <c r="J97" s="108"/>
      <c r="K97" s="175"/>
      <c r="L97" s="175"/>
      <c r="M97" s="175"/>
      <c r="N97" s="73"/>
      <c r="O97" s="71"/>
    </row>
    <row r="98" spans="2:15" ht="11.25" customHeight="1" outlineLevel="1" x14ac:dyDescent="0.2">
      <c r="B98" s="169" t="str">
        <f t="shared" si="7"/>
        <v/>
      </c>
      <c r="C98" s="170" t="str">
        <f t="shared" si="8"/>
        <v/>
      </c>
      <c r="D98" s="171">
        <f t="shared" si="5"/>
        <v>2</v>
      </c>
      <c r="E98" s="171" t="str">
        <f t="shared" si="6"/>
        <v>MARTES</v>
      </c>
      <c r="F98" s="70">
        <v>43641</v>
      </c>
      <c r="G98" s="105">
        <v>114.39400000000001</v>
      </c>
      <c r="H98" s="174">
        <f t="shared" si="9"/>
        <v>-1.0659212052880199E-3</v>
      </c>
      <c r="I98" s="175"/>
      <c r="J98" s="108"/>
      <c r="K98" s="175"/>
      <c r="L98" s="175"/>
      <c r="M98" s="175"/>
      <c r="N98" s="73"/>
      <c r="O98" s="71"/>
    </row>
    <row r="99" spans="2:15" ht="11.25" customHeight="1" outlineLevel="1" x14ac:dyDescent="0.2">
      <c r="B99" s="169" t="str">
        <f t="shared" si="7"/>
        <v/>
      </c>
      <c r="C99" s="170" t="str">
        <f t="shared" si="8"/>
        <v/>
      </c>
      <c r="D99" s="171">
        <f t="shared" si="5"/>
        <v>3</v>
      </c>
      <c r="E99" s="171" t="str">
        <f t="shared" si="6"/>
        <v>MIERCOLES</v>
      </c>
      <c r="F99" s="70">
        <v>43642</v>
      </c>
      <c r="G99" s="105">
        <v>113.657</v>
      </c>
      <c r="H99" s="174">
        <f t="shared" si="9"/>
        <v>-6.4634890071367896E-3</v>
      </c>
      <c r="I99" s="176">
        <f>ROUND(VAR(H9:H98),$I$4)</f>
        <v>9.2144064127399995E-6</v>
      </c>
      <c r="J99" s="109">
        <f>ROUND(NORMSINV(99%)*SQRT(I99)*G98,$I$4)</f>
        <v>0.80781439155207602</v>
      </c>
      <c r="K99" s="176">
        <f>ROUND(G98+(J99),$I$4)</f>
        <v>115.20181439155201</v>
      </c>
      <c r="L99" s="176">
        <f>ROUND(G98-(J99),$I$4)</f>
        <v>113.58618560844801</v>
      </c>
      <c r="M99" s="175"/>
      <c r="N99" s="73"/>
      <c r="O99" s="71"/>
    </row>
    <row r="100" spans="2:15" ht="11.25" customHeight="1" outlineLevel="1" x14ac:dyDescent="0.2">
      <c r="B100" s="177" t="str">
        <f t="shared" si="7"/>
        <v/>
      </c>
      <c r="C100" s="178" t="str">
        <f t="shared" si="8"/>
        <v/>
      </c>
      <c r="D100" s="179">
        <f t="shared" si="5"/>
        <v>4</v>
      </c>
      <c r="E100" s="179" t="str">
        <f t="shared" si="6"/>
        <v>JUEVES</v>
      </c>
      <c r="F100" s="70">
        <v>43643</v>
      </c>
      <c r="G100" s="110"/>
      <c r="H100" s="180"/>
      <c r="I100" s="181">
        <f>ROUND(I99*$I$3+(1-$I$3)*(H99^2),$I$4)</f>
        <v>1.1168143436699999E-5</v>
      </c>
      <c r="J100" s="109">
        <f>ROUND(NORMSINV(99%)*SQRT(I100)*G99,$I$4)</f>
        <v>0.88361145686380504</v>
      </c>
      <c r="K100" s="176">
        <f>ROUND(G99+(J100),$I$4)</f>
        <v>114.540611456864</v>
      </c>
      <c r="L100" s="176">
        <f>ROUND(G99-(J100),$I$4)</f>
        <v>112.77338854313599</v>
      </c>
      <c r="M100" s="105">
        <v>114.05</v>
      </c>
      <c r="N100" s="73" t="str">
        <f>IF(M100&gt;K100,"SI","NO")</f>
        <v>NO</v>
      </c>
      <c r="O100" s="73" t="str">
        <f>IF(N100&lt;L100,"SI","NO")</f>
        <v>NO</v>
      </c>
    </row>
    <row r="101" spans="2:15" s="188" customFormat="1" x14ac:dyDescent="0.2">
      <c r="B101" s="182"/>
      <c r="C101" s="183"/>
      <c r="D101" s="184"/>
      <c r="E101" s="184"/>
      <c r="F101" s="75"/>
      <c r="G101" s="76"/>
      <c r="H101" s="185"/>
      <c r="I101" s="186"/>
      <c r="J101" s="111"/>
      <c r="K101" s="187"/>
      <c r="L101" s="187"/>
      <c r="M101" s="187"/>
      <c r="N101" s="185"/>
    </row>
    <row r="102" spans="2:15" s="188" customFormat="1" x14ac:dyDescent="0.2">
      <c r="B102" s="182"/>
      <c r="C102" s="183"/>
      <c r="D102" s="184"/>
      <c r="E102" s="184"/>
      <c r="F102" s="75"/>
      <c r="G102" s="76"/>
      <c r="H102" s="185"/>
      <c r="I102" s="186"/>
      <c r="J102" s="111"/>
      <c r="K102" s="187"/>
      <c r="L102" s="187"/>
      <c r="M102" s="187"/>
      <c r="N102" s="185"/>
    </row>
    <row r="103" spans="2:15" s="188" customFormat="1" x14ac:dyDescent="0.2">
      <c r="B103" s="182"/>
      <c r="C103" s="183"/>
      <c r="D103" s="184"/>
      <c r="E103" s="184"/>
      <c r="F103" s="75"/>
      <c r="G103" s="76"/>
      <c r="H103" s="185"/>
      <c r="I103" s="186"/>
      <c r="J103" s="77"/>
      <c r="K103" s="187"/>
      <c r="L103" s="187"/>
      <c r="M103" s="187"/>
      <c r="N103" s="185"/>
    </row>
    <row r="104" spans="2:15" s="188" customFormat="1" x14ac:dyDescent="0.2">
      <c r="B104" s="182"/>
      <c r="C104" s="183"/>
      <c r="D104" s="184"/>
      <c r="E104" s="184"/>
      <c r="F104" s="75"/>
      <c r="G104" s="76"/>
      <c r="H104" s="185"/>
      <c r="I104" s="186"/>
      <c r="J104" s="77"/>
      <c r="K104" s="187"/>
      <c r="L104" s="187"/>
      <c r="M104" s="187"/>
      <c r="N104" s="185"/>
    </row>
    <row r="105" spans="2:15" s="188" customFormat="1" x14ac:dyDescent="0.2">
      <c r="B105" s="182"/>
      <c r="C105" s="183"/>
      <c r="D105" s="184"/>
      <c r="E105" s="184"/>
      <c r="F105" s="75"/>
      <c r="G105" s="76"/>
      <c r="H105" s="185"/>
      <c r="I105" s="186"/>
      <c r="J105" s="77"/>
      <c r="K105" s="187"/>
      <c r="L105" s="187"/>
      <c r="M105" s="187"/>
      <c r="N105" s="185"/>
    </row>
    <row r="106" spans="2:15" s="188" customFormat="1" x14ac:dyDescent="0.2">
      <c r="B106" s="182"/>
      <c r="C106" s="183"/>
      <c r="D106" s="184"/>
      <c r="E106" s="184"/>
      <c r="F106" s="75"/>
      <c r="G106" s="76"/>
      <c r="H106" s="185"/>
      <c r="I106" s="186"/>
      <c r="J106" s="77"/>
      <c r="K106" s="187"/>
      <c r="L106" s="187"/>
      <c r="M106" s="187"/>
      <c r="N106" s="185"/>
    </row>
    <row r="107" spans="2:15" s="188" customFormat="1" x14ac:dyDescent="0.2">
      <c r="B107" s="182"/>
      <c r="C107" s="183"/>
      <c r="D107" s="184"/>
      <c r="E107" s="184"/>
      <c r="F107" s="75"/>
      <c r="G107" s="76"/>
      <c r="H107" s="185"/>
      <c r="I107" s="186"/>
      <c r="J107" s="77"/>
      <c r="K107" s="187"/>
      <c r="L107" s="187"/>
      <c r="M107" s="187"/>
      <c r="N107" s="185"/>
    </row>
    <row r="108" spans="2:15" s="188" customFormat="1" x14ac:dyDescent="0.2">
      <c r="B108" s="182"/>
      <c r="C108" s="183"/>
      <c r="D108" s="184"/>
      <c r="E108" s="184"/>
      <c r="F108" s="75"/>
      <c r="G108" s="76"/>
      <c r="H108" s="185"/>
      <c r="I108" s="186"/>
      <c r="J108" s="77"/>
      <c r="K108" s="187"/>
      <c r="L108" s="187"/>
      <c r="M108" s="187"/>
      <c r="N108" s="185"/>
    </row>
    <row r="109" spans="2:15" s="188" customFormat="1" x14ac:dyDescent="0.2">
      <c r="B109" s="182"/>
      <c r="C109" s="183"/>
      <c r="D109" s="184"/>
      <c r="E109" s="184"/>
      <c r="F109" s="75"/>
      <c r="G109" s="76"/>
      <c r="H109" s="185"/>
      <c r="I109" s="186"/>
      <c r="J109" s="77"/>
      <c r="K109" s="187"/>
      <c r="L109" s="187"/>
      <c r="M109" s="187"/>
      <c r="N109" s="185"/>
    </row>
    <row r="110" spans="2:15" s="188" customFormat="1" x14ac:dyDescent="0.2">
      <c r="B110" s="182"/>
      <c r="C110" s="183"/>
      <c r="D110" s="184"/>
      <c r="E110" s="184"/>
      <c r="F110" s="75"/>
      <c r="G110" s="76"/>
      <c r="H110" s="185"/>
      <c r="I110" s="186"/>
      <c r="J110" s="77"/>
      <c r="K110" s="187"/>
      <c r="L110" s="187"/>
      <c r="M110" s="187"/>
      <c r="N110" s="185"/>
    </row>
    <row r="111" spans="2:15" s="188" customFormat="1" x14ac:dyDescent="0.2">
      <c r="B111" s="182"/>
      <c r="C111" s="183"/>
      <c r="D111" s="184"/>
      <c r="E111" s="184"/>
      <c r="F111" s="75"/>
      <c r="G111" s="76"/>
      <c r="H111" s="185"/>
      <c r="I111" s="186"/>
      <c r="J111" s="77"/>
      <c r="K111" s="187"/>
      <c r="L111" s="187"/>
      <c r="M111" s="187"/>
      <c r="N111" s="185"/>
    </row>
    <row r="112" spans="2:15" s="188" customFormat="1" x14ac:dyDescent="0.2">
      <c r="B112" s="182"/>
      <c r="C112" s="183"/>
      <c r="D112" s="184"/>
      <c r="E112" s="184"/>
      <c r="F112" s="75"/>
      <c r="G112" s="76"/>
      <c r="H112" s="185"/>
      <c r="I112" s="186"/>
      <c r="J112" s="77"/>
      <c r="K112" s="187"/>
      <c r="L112" s="187"/>
      <c r="M112" s="187"/>
      <c r="N112" s="185"/>
    </row>
    <row r="113" spans="2:14" s="188" customFormat="1" x14ac:dyDescent="0.2">
      <c r="B113" s="182"/>
      <c r="C113" s="183"/>
      <c r="D113" s="184"/>
      <c r="E113" s="184"/>
      <c r="F113" s="75"/>
      <c r="G113" s="76"/>
      <c r="H113" s="185"/>
      <c r="I113" s="186"/>
      <c r="J113" s="77"/>
      <c r="K113" s="187"/>
      <c r="L113" s="187"/>
      <c r="M113" s="187"/>
      <c r="N113" s="185"/>
    </row>
    <row r="114" spans="2:14" s="188" customFormat="1" x14ac:dyDescent="0.2">
      <c r="B114" s="182"/>
      <c r="C114" s="183"/>
      <c r="D114" s="184"/>
      <c r="E114" s="184"/>
      <c r="F114" s="75"/>
      <c r="G114" s="76"/>
      <c r="H114" s="185"/>
      <c r="I114" s="186"/>
      <c r="J114" s="77"/>
      <c r="K114" s="187"/>
      <c r="L114" s="187"/>
      <c r="M114" s="187"/>
      <c r="N114" s="185"/>
    </row>
    <row r="115" spans="2:14" s="188" customFormat="1" x14ac:dyDescent="0.2">
      <c r="B115" s="182"/>
      <c r="C115" s="183"/>
      <c r="D115" s="184"/>
      <c r="E115" s="184"/>
      <c r="F115" s="75"/>
      <c r="G115" s="76"/>
      <c r="H115" s="185"/>
      <c r="I115" s="186"/>
      <c r="J115" s="77"/>
      <c r="K115" s="187"/>
      <c r="L115" s="187"/>
      <c r="M115" s="187"/>
      <c r="N115" s="185"/>
    </row>
    <row r="116" spans="2:14" s="188" customFormat="1" x14ac:dyDescent="0.2">
      <c r="B116" s="182"/>
      <c r="C116" s="183"/>
      <c r="D116" s="184"/>
      <c r="E116" s="184"/>
      <c r="F116" s="75"/>
      <c r="G116" s="76"/>
      <c r="H116" s="185"/>
      <c r="I116" s="186"/>
      <c r="J116" s="77"/>
      <c r="K116" s="187"/>
      <c r="L116" s="187"/>
      <c r="M116" s="187"/>
      <c r="N116" s="185"/>
    </row>
    <row r="117" spans="2:14" s="188" customFormat="1" x14ac:dyDescent="0.2">
      <c r="B117" s="182"/>
      <c r="C117" s="183"/>
      <c r="D117" s="184"/>
      <c r="E117" s="184"/>
      <c r="F117" s="75"/>
      <c r="G117" s="76"/>
      <c r="H117" s="185"/>
      <c r="I117" s="186"/>
      <c r="J117" s="77"/>
      <c r="K117" s="187"/>
      <c r="L117" s="187"/>
      <c r="M117" s="187"/>
      <c r="N117" s="185"/>
    </row>
    <row r="118" spans="2:14" s="188" customFormat="1" x14ac:dyDescent="0.2">
      <c r="B118" s="182"/>
      <c r="C118" s="183"/>
      <c r="D118" s="184"/>
      <c r="E118" s="184"/>
      <c r="F118" s="75"/>
      <c r="G118" s="76"/>
      <c r="H118" s="185"/>
      <c r="I118" s="186"/>
      <c r="J118" s="77"/>
      <c r="K118" s="187"/>
      <c r="L118" s="187"/>
      <c r="M118" s="187"/>
      <c r="N118" s="185"/>
    </row>
    <row r="119" spans="2:14" s="188" customFormat="1" x14ac:dyDescent="0.2">
      <c r="B119" s="182"/>
      <c r="C119" s="183"/>
      <c r="D119" s="184"/>
      <c r="E119" s="184"/>
      <c r="F119" s="75"/>
      <c r="G119" s="76"/>
      <c r="H119" s="185"/>
      <c r="I119" s="186"/>
      <c r="J119" s="77"/>
      <c r="K119" s="187"/>
      <c r="L119" s="187"/>
      <c r="M119" s="187"/>
      <c r="N119" s="185"/>
    </row>
    <row r="120" spans="2:14" s="188" customFormat="1" x14ac:dyDescent="0.2">
      <c r="B120" s="182"/>
      <c r="C120" s="183"/>
      <c r="D120" s="184"/>
      <c r="E120" s="184"/>
      <c r="F120" s="75"/>
      <c r="G120" s="76"/>
      <c r="H120" s="185"/>
      <c r="I120" s="186"/>
      <c r="J120" s="77"/>
      <c r="K120" s="187"/>
      <c r="L120" s="187"/>
      <c r="M120" s="187"/>
      <c r="N120" s="185"/>
    </row>
    <row r="121" spans="2:14" s="188" customFormat="1" x14ac:dyDescent="0.2">
      <c r="B121" s="182"/>
      <c r="C121" s="183"/>
      <c r="D121" s="184"/>
      <c r="E121" s="184"/>
      <c r="F121" s="75"/>
      <c r="G121" s="76"/>
      <c r="H121" s="185"/>
      <c r="I121" s="186"/>
      <c r="J121" s="77"/>
      <c r="K121" s="187"/>
      <c r="L121" s="187"/>
      <c r="M121" s="187"/>
      <c r="N121" s="185"/>
    </row>
    <row r="122" spans="2:14" s="188" customFormat="1" x14ac:dyDescent="0.2">
      <c r="B122" s="182"/>
      <c r="C122" s="183"/>
      <c r="D122" s="184"/>
      <c r="E122" s="184"/>
      <c r="F122" s="75"/>
      <c r="G122" s="76"/>
      <c r="H122" s="185"/>
      <c r="I122" s="186"/>
      <c r="J122" s="77"/>
      <c r="K122" s="187"/>
      <c r="L122" s="187"/>
      <c r="M122" s="187"/>
      <c r="N122" s="185"/>
    </row>
    <row r="123" spans="2:14" s="188" customFormat="1" x14ac:dyDescent="0.2">
      <c r="B123" s="182"/>
      <c r="C123" s="183"/>
      <c r="D123" s="184"/>
      <c r="E123" s="184"/>
      <c r="F123" s="75"/>
      <c r="G123" s="76"/>
      <c r="H123" s="185"/>
      <c r="I123" s="186"/>
      <c r="J123" s="77"/>
      <c r="K123" s="187"/>
      <c r="L123" s="187"/>
      <c r="M123" s="187"/>
      <c r="N123" s="185"/>
    </row>
    <row r="124" spans="2:14" s="188" customFormat="1" x14ac:dyDescent="0.2">
      <c r="B124" s="182"/>
      <c r="C124" s="183"/>
      <c r="D124" s="184"/>
      <c r="E124" s="184"/>
      <c r="F124" s="75"/>
      <c r="G124" s="76"/>
      <c r="H124" s="185"/>
      <c r="I124" s="186"/>
      <c r="J124" s="77"/>
      <c r="K124" s="187"/>
      <c r="L124" s="187"/>
      <c r="M124" s="187"/>
      <c r="N124" s="185"/>
    </row>
    <row r="125" spans="2:14" s="188" customFormat="1" x14ac:dyDescent="0.2">
      <c r="B125" s="182"/>
      <c r="C125" s="183"/>
      <c r="D125" s="184"/>
      <c r="E125" s="184"/>
      <c r="F125" s="75"/>
      <c r="G125" s="76"/>
      <c r="H125" s="185"/>
      <c r="I125" s="186"/>
      <c r="J125" s="77"/>
      <c r="K125" s="187"/>
      <c r="L125" s="187"/>
      <c r="M125" s="187"/>
      <c r="N125" s="185"/>
    </row>
    <row r="126" spans="2:14" s="188" customFormat="1" x14ac:dyDescent="0.2">
      <c r="B126" s="182"/>
      <c r="C126" s="183"/>
      <c r="D126" s="184"/>
      <c r="E126" s="184"/>
      <c r="F126" s="75"/>
      <c r="G126" s="76"/>
      <c r="H126" s="185"/>
      <c r="I126" s="186"/>
      <c r="J126" s="77"/>
      <c r="K126" s="187"/>
      <c r="L126" s="187"/>
      <c r="M126" s="187"/>
      <c r="N126" s="185"/>
    </row>
    <row r="127" spans="2:14" s="188" customFormat="1" x14ac:dyDescent="0.2">
      <c r="B127" s="182"/>
      <c r="C127" s="183"/>
      <c r="D127" s="184"/>
      <c r="E127" s="184"/>
      <c r="F127" s="75"/>
      <c r="G127" s="76"/>
      <c r="H127" s="185"/>
      <c r="I127" s="186"/>
      <c r="J127" s="77"/>
      <c r="K127" s="187"/>
      <c r="L127" s="187"/>
      <c r="M127" s="187"/>
      <c r="N127" s="185"/>
    </row>
    <row r="128" spans="2:14" s="188" customFormat="1" x14ac:dyDescent="0.2">
      <c r="B128" s="182"/>
      <c r="C128" s="183"/>
      <c r="D128" s="184"/>
      <c r="E128" s="184"/>
      <c r="F128" s="75"/>
      <c r="G128" s="76"/>
      <c r="H128" s="185"/>
      <c r="I128" s="186"/>
      <c r="J128" s="77"/>
      <c r="K128" s="187"/>
      <c r="L128" s="187"/>
      <c r="M128" s="187"/>
      <c r="N128" s="185"/>
    </row>
    <row r="129" spans="2:14" s="188" customFormat="1" x14ac:dyDescent="0.2">
      <c r="B129" s="182"/>
      <c r="C129" s="183"/>
      <c r="D129" s="184"/>
      <c r="E129" s="184"/>
      <c r="F129" s="75"/>
      <c r="G129" s="76"/>
      <c r="H129" s="185"/>
      <c r="I129" s="186"/>
      <c r="J129" s="77"/>
      <c r="K129" s="187"/>
      <c r="L129" s="187"/>
      <c r="M129" s="187"/>
      <c r="N129" s="185"/>
    </row>
    <row r="130" spans="2:14" s="188" customFormat="1" x14ac:dyDescent="0.2">
      <c r="B130" s="182"/>
      <c r="C130" s="183"/>
      <c r="D130" s="184"/>
      <c r="E130" s="184"/>
      <c r="F130" s="75"/>
      <c r="G130" s="76"/>
      <c r="H130" s="185"/>
      <c r="I130" s="186"/>
      <c r="J130" s="77"/>
      <c r="K130" s="187"/>
      <c r="L130" s="187"/>
      <c r="M130" s="187"/>
      <c r="N130" s="185"/>
    </row>
    <row r="131" spans="2:14" s="188" customFormat="1" x14ac:dyDescent="0.2">
      <c r="B131" s="182"/>
      <c r="C131" s="183"/>
      <c r="D131" s="184"/>
      <c r="E131" s="184"/>
      <c r="F131" s="75"/>
      <c r="G131" s="76"/>
      <c r="H131" s="185"/>
      <c r="I131" s="186"/>
      <c r="J131" s="77"/>
      <c r="K131" s="187"/>
      <c r="L131" s="187"/>
      <c r="M131" s="187"/>
      <c r="N131" s="185"/>
    </row>
    <row r="132" spans="2:14" s="188" customFormat="1" x14ac:dyDescent="0.2">
      <c r="B132" s="182"/>
      <c r="C132" s="183"/>
      <c r="D132" s="184"/>
      <c r="E132" s="184"/>
      <c r="F132" s="75"/>
      <c r="G132" s="76"/>
      <c r="H132" s="185"/>
      <c r="I132" s="186"/>
      <c r="J132" s="77"/>
      <c r="K132" s="187"/>
      <c r="L132" s="187"/>
      <c r="M132" s="187"/>
      <c r="N132" s="185"/>
    </row>
    <row r="133" spans="2:14" s="188" customFormat="1" x14ac:dyDescent="0.2">
      <c r="B133" s="182"/>
      <c r="C133" s="183"/>
      <c r="D133" s="184"/>
      <c r="E133" s="184"/>
      <c r="F133" s="75"/>
      <c r="G133" s="76"/>
      <c r="H133" s="185"/>
      <c r="I133" s="186"/>
      <c r="J133" s="77"/>
      <c r="K133" s="187"/>
      <c r="L133" s="187"/>
      <c r="M133" s="187"/>
      <c r="N133" s="185"/>
    </row>
    <row r="134" spans="2:14" s="188" customFormat="1" x14ac:dyDescent="0.2">
      <c r="B134" s="182"/>
      <c r="C134" s="183"/>
      <c r="D134" s="184"/>
      <c r="E134" s="184"/>
      <c r="F134" s="75"/>
      <c r="G134" s="76"/>
      <c r="H134" s="185"/>
      <c r="I134" s="186"/>
      <c r="J134" s="77"/>
      <c r="K134" s="187"/>
      <c r="L134" s="187"/>
      <c r="M134" s="187"/>
      <c r="N134" s="185"/>
    </row>
    <row r="135" spans="2:14" s="188" customFormat="1" x14ac:dyDescent="0.2">
      <c r="B135" s="182"/>
      <c r="C135" s="183"/>
      <c r="D135" s="184"/>
      <c r="E135" s="184"/>
      <c r="F135" s="75"/>
      <c r="G135" s="76"/>
      <c r="H135" s="185"/>
      <c r="I135" s="186"/>
      <c r="J135" s="77"/>
      <c r="K135" s="187"/>
      <c r="L135" s="187"/>
      <c r="M135" s="187"/>
      <c r="N135" s="185"/>
    </row>
    <row r="136" spans="2:14" s="188" customFormat="1" x14ac:dyDescent="0.2">
      <c r="B136" s="182"/>
      <c r="C136" s="183"/>
      <c r="D136" s="184"/>
      <c r="E136" s="184"/>
      <c r="F136" s="75"/>
      <c r="G136" s="76"/>
      <c r="H136" s="185"/>
      <c r="I136" s="186"/>
      <c r="J136" s="77"/>
      <c r="K136" s="187"/>
      <c r="L136" s="187"/>
      <c r="M136" s="187"/>
      <c r="N136" s="185"/>
    </row>
    <row r="137" spans="2:14" s="188" customFormat="1" x14ac:dyDescent="0.2">
      <c r="B137" s="182"/>
      <c r="C137" s="183"/>
      <c r="D137" s="184"/>
      <c r="E137" s="184"/>
      <c r="F137" s="75"/>
      <c r="G137" s="76"/>
      <c r="H137" s="185"/>
      <c r="I137" s="186"/>
      <c r="J137" s="77"/>
      <c r="K137" s="187"/>
      <c r="L137" s="187"/>
      <c r="M137" s="187"/>
      <c r="N137" s="185"/>
    </row>
    <row r="138" spans="2:14" s="188" customFormat="1" x14ac:dyDescent="0.2">
      <c r="B138" s="182"/>
      <c r="C138" s="183"/>
      <c r="D138" s="184"/>
      <c r="E138" s="184"/>
      <c r="F138" s="75"/>
      <c r="G138" s="76"/>
      <c r="H138" s="185"/>
      <c r="I138" s="186"/>
      <c r="J138" s="77"/>
      <c r="K138" s="187"/>
      <c r="L138" s="187"/>
      <c r="M138" s="187"/>
      <c r="N138" s="185"/>
    </row>
    <row r="139" spans="2:14" s="188" customFormat="1" x14ac:dyDescent="0.2">
      <c r="B139" s="182"/>
      <c r="C139" s="183"/>
      <c r="D139" s="184"/>
      <c r="E139" s="184"/>
      <c r="F139" s="75"/>
      <c r="G139" s="76"/>
      <c r="H139" s="185"/>
      <c r="I139" s="186"/>
      <c r="J139" s="77"/>
      <c r="K139" s="187"/>
      <c r="L139" s="187"/>
      <c r="M139" s="187"/>
      <c r="N139" s="185"/>
    </row>
    <row r="140" spans="2:14" s="188" customFormat="1" x14ac:dyDescent="0.2">
      <c r="B140" s="182"/>
      <c r="C140" s="183"/>
      <c r="D140" s="184"/>
      <c r="E140" s="184"/>
      <c r="F140" s="75"/>
      <c r="G140" s="76"/>
      <c r="H140" s="185"/>
      <c r="I140" s="186"/>
      <c r="J140" s="77"/>
      <c r="K140" s="187"/>
      <c r="L140" s="187"/>
      <c r="M140" s="187"/>
      <c r="N140" s="185"/>
    </row>
    <row r="141" spans="2:14" s="188" customFormat="1" x14ac:dyDescent="0.2">
      <c r="B141" s="182"/>
      <c r="C141" s="183"/>
      <c r="D141" s="184"/>
      <c r="E141" s="184"/>
      <c r="F141" s="75"/>
      <c r="G141" s="76"/>
      <c r="H141" s="185"/>
      <c r="I141" s="186"/>
      <c r="J141" s="77"/>
      <c r="K141" s="187"/>
      <c r="L141" s="187"/>
      <c r="M141" s="187"/>
      <c r="N141" s="185"/>
    </row>
    <row r="142" spans="2:14" s="188" customFormat="1" x14ac:dyDescent="0.2">
      <c r="B142" s="182"/>
      <c r="C142" s="183"/>
      <c r="D142" s="184"/>
      <c r="E142" s="184"/>
      <c r="F142" s="75"/>
      <c r="G142" s="76"/>
      <c r="H142" s="185"/>
      <c r="I142" s="186"/>
      <c r="J142" s="77"/>
      <c r="K142" s="187"/>
      <c r="L142" s="187"/>
      <c r="M142" s="187"/>
      <c r="N142" s="185"/>
    </row>
    <row r="143" spans="2:14" s="188" customFormat="1" x14ac:dyDescent="0.2">
      <c r="B143" s="182"/>
      <c r="C143" s="183"/>
      <c r="D143" s="184"/>
      <c r="E143" s="184"/>
      <c r="F143" s="75"/>
      <c r="G143" s="76"/>
      <c r="H143" s="185"/>
      <c r="I143" s="186"/>
      <c r="J143" s="77"/>
      <c r="K143" s="187"/>
      <c r="L143" s="187"/>
      <c r="M143" s="187"/>
      <c r="N143" s="185"/>
    </row>
    <row r="144" spans="2:14" s="188" customFormat="1" x14ac:dyDescent="0.2">
      <c r="B144" s="182"/>
      <c r="C144" s="183"/>
      <c r="D144" s="184"/>
      <c r="E144" s="184"/>
      <c r="F144" s="75"/>
      <c r="G144" s="76"/>
      <c r="H144" s="185"/>
      <c r="I144" s="186"/>
      <c r="J144" s="77"/>
      <c r="K144" s="187"/>
      <c r="L144" s="187"/>
      <c r="M144" s="187"/>
      <c r="N144" s="185"/>
    </row>
    <row r="145" spans="2:15" s="188" customFormat="1" x14ac:dyDescent="0.2">
      <c r="B145" s="182"/>
      <c r="C145" s="183"/>
      <c r="D145" s="184"/>
      <c r="E145" s="184"/>
      <c r="F145" s="75"/>
      <c r="G145" s="76"/>
      <c r="H145" s="185"/>
      <c r="I145" s="186"/>
      <c r="J145" s="77"/>
      <c r="K145" s="187"/>
      <c r="L145" s="187"/>
      <c r="M145" s="187"/>
      <c r="N145" s="185"/>
    </row>
    <row r="146" spans="2:15" s="188" customFormat="1" x14ac:dyDescent="0.2">
      <c r="B146" s="182"/>
      <c r="C146" s="183"/>
      <c r="D146" s="184"/>
      <c r="E146" s="184"/>
      <c r="F146" s="75"/>
      <c r="G146" s="76"/>
      <c r="H146" s="185"/>
      <c r="I146" s="186"/>
      <c r="J146" s="77"/>
      <c r="K146" s="187"/>
      <c r="L146" s="187"/>
      <c r="M146" s="187"/>
      <c r="N146" s="185"/>
    </row>
    <row r="147" spans="2:15" s="188" customFormat="1" x14ac:dyDescent="0.2">
      <c r="B147" s="182"/>
      <c r="C147" s="183"/>
      <c r="D147" s="184"/>
      <c r="E147" s="184"/>
      <c r="F147" s="75"/>
      <c r="G147" s="76"/>
      <c r="H147" s="185"/>
      <c r="I147" s="186"/>
      <c r="J147" s="77"/>
      <c r="K147" s="187"/>
      <c r="L147" s="187"/>
      <c r="M147" s="187"/>
      <c r="N147" s="185"/>
    </row>
    <row r="148" spans="2:15" s="188" customFormat="1" x14ac:dyDescent="0.2">
      <c r="B148" s="182"/>
      <c r="C148" s="183"/>
      <c r="D148" s="184"/>
      <c r="E148" s="184"/>
      <c r="F148" s="75"/>
      <c r="G148" s="76"/>
      <c r="H148" s="185"/>
      <c r="I148" s="186"/>
      <c r="J148" s="77"/>
      <c r="K148" s="187"/>
      <c r="L148" s="187"/>
      <c r="M148" s="187"/>
      <c r="N148" s="185"/>
    </row>
    <row r="149" spans="2:15" s="188" customFormat="1" x14ac:dyDescent="0.2">
      <c r="B149" s="182"/>
      <c r="C149" s="183"/>
      <c r="D149" s="184"/>
      <c r="E149" s="184"/>
      <c r="F149" s="75"/>
      <c r="G149" s="76"/>
      <c r="H149" s="185"/>
      <c r="I149" s="186"/>
      <c r="J149" s="77"/>
      <c r="K149" s="187"/>
      <c r="L149" s="187"/>
      <c r="M149" s="187"/>
      <c r="N149" s="185"/>
    </row>
    <row r="150" spans="2:15" s="188" customFormat="1" x14ac:dyDescent="0.2">
      <c r="B150" s="182"/>
      <c r="C150" s="183"/>
      <c r="D150" s="184"/>
      <c r="E150" s="184"/>
      <c r="F150" s="75"/>
      <c r="G150" s="76"/>
      <c r="H150" s="185"/>
      <c r="I150" s="186"/>
      <c r="J150" s="77"/>
      <c r="K150" s="187"/>
      <c r="L150" s="187"/>
      <c r="M150" s="187"/>
      <c r="N150" s="185"/>
    </row>
    <row r="151" spans="2:15" s="188" customFormat="1" x14ac:dyDescent="0.2">
      <c r="B151" s="182"/>
      <c r="C151" s="183"/>
      <c r="D151" s="184"/>
      <c r="E151" s="184"/>
      <c r="F151" s="75"/>
      <c r="G151" s="76"/>
      <c r="H151" s="185"/>
      <c r="I151" s="186"/>
      <c r="J151" s="77"/>
      <c r="K151" s="187"/>
      <c r="L151" s="187"/>
      <c r="M151" s="187"/>
      <c r="N151" s="185"/>
    </row>
    <row r="152" spans="2:15" x14ac:dyDescent="0.2">
      <c r="B152" s="189"/>
      <c r="C152" s="190"/>
      <c r="D152" s="191"/>
      <c r="E152" s="191"/>
      <c r="F152" s="68"/>
      <c r="G152" s="69"/>
      <c r="H152" s="192"/>
      <c r="I152" s="193"/>
      <c r="J152" s="78"/>
      <c r="K152" s="194"/>
      <c r="L152" s="194"/>
      <c r="M152" s="194"/>
      <c r="N152" s="192"/>
      <c r="O152" s="195"/>
    </row>
    <row r="153" spans="2:15" x14ac:dyDescent="0.2">
      <c r="B153" s="169"/>
      <c r="C153" s="170"/>
      <c r="D153" s="171"/>
      <c r="E153" s="171"/>
      <c r="F153" s="70"/>
      <c r="G153" s="71"/>
      <c r="H153" s="196"/>
      <c r="I153" s="197"/>
      <c r="J153" s="79"/>
      <c r="K153" s="198"/>
      <c r="L153" s="198"/>
      <c r="M153" s="198"/>
      <c r="N153" s="196"/>
      <c r="O153" s="97"/>
    </row>
    <row r="154" spans="2:15" x14ac:dyDescent="0.2">
      <c r="B154" s="169"/>
      <c r="C154" s="170"/>
      <c r="D154" s="171"/>
      <c r="E154" s="171"/>
      <c r="F154" s="70"/>
      <c r="G154" s="71"/>
      <c r="H154" s="196"/>
      <c r="I154" s="197"/>
      <c r="J154" s="79"/>
      <c r="K154" s="198"/>
      <c r="L154" s="198"/>
      <c r="M154" s="198"/>
      <c r="N154" s="196"/>
      <c r="O154" s="97"/>
    </row>
    <row r="155" spans="2:15" x14ac:dyDescent="0.2">
      <c r="B155" s="169"/>
      <c r="C155" s="170"/>
      <c r="D155" s="171"/>
      <c r="E155" s="171"/>
      <c r="F155" s="70"/>
      <c r="G155" s="71"/>
      <c r="H155" s="196"/>
      <c r="I155" s="197"/>
      <c r="J155" s="79"/>
      <c r="K155" s="198"/>
      <c r="L155" s="198"/>
      <c r="M155" s="198"/>
      <c r="N155" s="196"/>
      <c r="O155" s="97"/>
    </row>
    <row r="156" spans="2:15" x14ac:dyDescent="0.2">
      <c r="B156" s="169"/>
      <c r="C156" s="170"/>
      <c r="D156" s="171"/>
      <c r="E156" s="171"/>
      <c r="F156" s="70"/>
      <c r="G156" s="71"/>
      <c r="H156" s="196"/>
      <c r="I156" s="197"/>
      <c r="J156" s="79"/>
      <c r="K156" s="198"/>
      <c r="L156" s="198"/>
      <c r="M156" s="198"/>
      <c r="N156" s="196"/>
      <c r="O156" s="97"/>
    </row>
    <row r="157" spans="2:15" x14ac:dyDescent="0.2">
      <c r="B157" s="169"/>
      <c r="C157" s="170"/>
      <c r="D157" s="171"/>
      <c r="E157" s="171"/>
      <c r="F157" s="70"/>
      <c r="G157" s="71"/>
      <c r="H157" s="196"/>
      <c r="I157" s="197"/>
      <c r="J157" s="79"/>
      <c r="K157" s="198"/>
      <c r="L157" s="198"/>
      <c r="M157" s="198"/>
      <c r="N157" s="196"/>
      <c r="O157" s="97"/>
    </row>
    <row r="158" spans="2:15" x14ac:dyDescent="0.2">
      <c r="B158" s="169"/>
      <c r="C158" s="170"/>
      <c r="D158" s="171"/>
      <c r="E158" s="171"/>
      <c r="F158" s="70"/>
      <c r="G158" s="71"/>
      <c r="H158" s="196"/>
      <c r="I158" s="197"/>
      <c r="J158" s="79"/>
      <c r="K158" s="198"/>
      <c r="L158" s="198"/>
      <c r="M158" s="198"/>
      <c r="N158" s="196"/>
      <c r="O158" s="97"/>
    </row>
    <row r="159" spans="2:15" x14ac:dyDescent="0.2">
      <c r="B159" s="169"/>
      <c r="C159" s="170"/>
      <c r="D159" s="171"/>
      <c r="E159" s="171"/>
      <c r="F159" s="70"/>
      <c r="G159" s="71"/>
      <c r="H159" s="196"/>
      <c r="I159" s="197"/>
      <c r="J159" s="79"/>
      <c r="K159" s="198"/>
      <c r="L159" s="198"/>
      <c r="M159" s="198"/>
      <c r="N159" s="196"/>
      <c r="O159" s="97"/>
    </row>
    <row r="160" spans="2:15" x14ac:dyDescent="0.2">
      <c r="B160" s="169"/>
      <c r="C160" s="170"/>
      <c r="D160" s="171"/>
      <c r="E160" s="171"/>
      <c r="F160" s="70"/>
      <c r="G160" s="71"/>
      <c r="H160" s="196"/>
      <c r="I160" s="197"/>
      <c r="J160" s="79"/>
      <c r="K160" s="198"/>
      <c r="L160" s="198"/>
      <c r="M160" s="198"/>
      <c r="N160" s="196"/>
      <c r="O160" s="97"/>
    </row>
    <row r="161" spans="2:15" x14ac:dyDescent="0.2">
      <c r="B161" s="169"/>
      <c r="C161" s="170"/>
      <c r="D161" s="171"/>
      <c r="E161" s="171"/>
      <c r="F161" s="70"/>
      <c r="G161" s="71"/>
      <c r="H161" s="196"/>
      <c r="I161" s="197"/>
      <c r="J161" s="79"/>
      <c r="K161" s="198"/>
      <c r="L161" s="198"/>
      <c r="M161" s="198"/>
      <c r="N161" s="196"/>
      <c r="O161" s="97"/>
    </row>
    <row r="162" spans="2:15" x14ac:dyDescent="0.2">
      <c r="B162" s="169"/>
      <c r="C162" s="170"/>
      <c r="D162" s="171"/>
      <c r="E162" s="171"/>
      <c r="F162" s="70"/>
      <c r="G162" s="71"/>
      <c r="H162" s="196"/>
      <c r="I162" s="197"/>
      <c r="J162" s="79"/>
      <c r="K162" s="198"/>
      <c r="L162" s="198"/>
      <c r="M162" s="198"/>
      <c r="N162" s="196"/>
      <c r="O162" s="97"/>
    </row>
    <row r="163" spans="2:15" x14ac:dyDescent="0.2">
      <c r="B163" s="169"/>
      <c r="C163" s="170"/>
      <c r="D163" s="171"/>
      <c r="E163" s="171"/>
      <c r="F163" s="70"/>
      <c r="G163" s="71"/>
      <c r="H163" s="196"/>
      <c r="I163" s="197"/>
      <c r="J163" s="79"/>
      <c r="K163" s="198"/>
      <c r="L163" s="198"/>
      <c r="M163" s="198"/>
      <c r="N163" s="196"/>
      <c r="O163" s="97"/>
    </row>
    <row r="164" spans="2:15" x14ac:dyDescent="0.2">
      <c r="B164" s="169"/>
      <c r="C164" s="170"/>
      <c r="D164" s="171"/>
      <c r="E164" s="171"/>
      <c r="F164" s="70"/>
      <c r="G164" s="71"/>
      <c r="H164" s="196"/>
      <c r="I164" s="197"/>
      <c r="J164" s="79"/>
      <c r="K164" s="198"/>
      <c r="L164" s="198"/>
      <c r="M164" s="198"/>
      <c r="N164" s="196"/>
      <c r="O164" s="97"/>
    </row>
    <row r="165" spans="2:15" x14ac:dyDescent="0.2">
      <c r="B165" s="169"/>
      <c r="C165" s="170"/>
      <c r="D165" s="171"/>
      <c r="E165" s="171"/>
      <c r="F165" s="70"/>
      <c r="G165" s="71"/>
      <c r="H165" s="196"/>
      <c r="I165" s="197"/>
      <c r="J165" s="79"/>
      <c r="K165" s="198"/>
      <c r="L165" s="198"/>
      <c r="M165" s="198"/>
      <c r="N165" s="196"/>
      <c r="O165" s="97"/>
    </row>
    <row r="166" spans="2:15" x14ac:dyDescent="0.2">
      <c r="B166" s="169"/>
      <c r="C166" s="170"/>
      <c r="D166" s="171"/>
      <c r="E166" s="171"/>
      <c r="F166" s="70"/>
      <c r="G166" s="71"/>
      <c r="H166" s="196"/>
      <c r="I166" s="197"/>
      <c r="J166" s="79"/>
      <c r="K166" s="198"/>
      <c r="L166" s="198"/>
      <c r="M166" s="198"/>
      <c r="N166" s="196"/>
      <c r="O166" s="97"/>
    </row>
    <row r="167" spans="2:15" x14ac:dyDescent="0.2">
      <c r="B167" s="169"/>
      <c r="C167" s="170"/>
      <c r="D167" s="171"/>
      <c r="E167" s="171"/>
      <c r="F167" s="70"/>
      <c r="G167" s="71"/>
      <c r="H167" s="196"/>
      <c r="I167" s="197"/>
      <c r="J167" s="79"/>
      <c r="K167" s="198"/>
      <c r="L167" s="198"/>
      <c r="M167" s="198"/>
      <c r="N167" s="196"/>
      <c r="O167" s="97"/>
    </row>
    <row r="168" spans="2:15" x14ac:dyDescent="0.2">
      <c r="B168" s="169"/>
      <c r="C168" s="170"/>
      <c r="D168" s="171"/>
      <c r="E168" s="171"/>
      <c r="F168" s="70"/>
      <c r="G168" s="71"/>
      <c r="H168" s="196"/>
      <c r="I168" s="197"/>
      <c r="J168" s="79"/>
      <c r="K168" s="198"/>
      <c r="L168" s="198"/>
      <c r="M168" s="198"/>
      <c r="N168" s="196"/>
      <c r="O168" s="97"/>
    </row>
    <row r="169" spans="2:15" x14ac:dyDescent="0.2">
      <c r="B169" s="169"/>
      <c r="C169" s="170"/>
      <c r="D169" s="171"/>
      <c r="E169" s="171"/>
      <c r="F169" s="70"/>
      <c r="G169" s="71"/>
      <c r="H169" s="196"/>
      <c r="I169" s="197"/>
      <c r="J169" s="79"/>
      <c r="K169" s="198"/>
      <c r="L169" s="198"/>
      <c r="M169" s="198"/>
      <c r="N169" s="196"/>
      <c r="O169" s="97"/>
    </row>
    <row r="170" spans="2:15" x14ac:dyDescent="0.2">
      <c r="B170" s="169"/>
      <c r="C170" s="170"/>
      <c r="D170" s="171"/>
      <c r="E170" s="171"/>
      <c r="F170" s="70"/>
      <c r="G170" s="71"/>
      <c r="H170" s="196"/>
      <c r="I170" s="197"/>
      <c r="J170" s="79"/>
      <c r="K170" s="198"/>
      <c r="L170" s="198"/>
      <c r="M170" s="198"/>
      <c r="N170" s="196"/>
      <c r="O170" s="97"/>
    </row>
    <row r="171" spans="2:15" x14ac:dyDescent="0.2">
      <c r="B171" s="169"/>
      <c r="C171" s="170"/>
      <c r="D171" s="171"/>
      <c r="E171" s="171"/>
      <c r="F171" s="70"/>
      <c r="G171" s="71"/>
      <c r="H171" s="196"/>
      <c r="I171" s="197"/>
      <c r="J171" s="79"/>
      <c r="K171" s="198"/>
      <c r="L171" s="198"/>
      <c r="M171" s="198"/>
      <c r="N171" s="196"/>
      <c r="O171" s="97"/>
    </row>
    <row r="172" spans="2:15" x14ac:dyDescent="0.2">
      <c r="B172" s="169"/>
      <c r="C172" s="170"/>
      <c r="D172" s="171"/>
      <c r="E172" s="171"/>
      <c r="F172" s="70"/>
      <c r="G172" s="71"/>
      <c r="H172" s="196"/>
      <c r="I172" s="197"/>
      <c r="J172" s="79"/>
      <c r="K172" s="198"/>
      <c r="L172" s="198"/>
      <c r="M172" s="198"/>
      <c r="N172" s="196"/>
      <c r="O172" s="97"/>
    </row>
    <row r="173" spans="2:15" x14ac:dyDescent="0.2">
      <c r="B173" s="169"/>
      <c r="C173" s="170"/>
      <c r="D173" s="171"/>
      <c r="E173" s="171"/>
      <c r="F173" s="70"/>
      <c r="G173" s="71"/>
      <c r="H173" s="196"/>
      <c r="I173" s="197"/>
      <c r="J173" s="79"/>
      <c r="K173" s="198"/>
      <c r="L173" s="198"/>
      <c r="M173" s="198"/>
      <c r="N173" s="196"/>
      <c r="O173" s="97"/>
    </row>
    <row r="174" spans="2:15" x14ac:dyDescent="0.2">
      <c r="B174" s="169"/>
      <c r="C174" s="170"/>
      <c r="D174" s="171"/>
      <c r="E174" s="171"/>
      <c r="F174" s="70"/>
      <c r="G174" s="71"/>
      <c r="H174" s="196"/>
      <c r="I174" s="197"/>
      <c r="J174" s="79"/>
      <c r="K174" s="198"/>
      <c r="L174" s="198"/>
      <c r="M174" s="198"/>
      <c r="N174" s="196"/>
      <c r="O174" s="97"/>
    </row>
    <row r="175" spans="2:15" x14ac:dyDescent="0.2">
      <c r="B175" s="169"/>
      <c r="C175" s="170"/>
      <c r="D175" s="171"/>
      <c r="E175" s="171"/>
      <c r="F175" s="70"/>
      <c r="G175" s="71"/>
      <c r="H175" s="196"/>
      <c r="I175" s="197"/>
      <c r="J175" s="79"/>
      <c r="K175" s="198"/>
      <c r="L175" s="198"/>
      <c r="M175" s="198"/>
      <c r="N175" s="196"/>
      <c r="O175" s="97"/>
    </row>
    <row r="176" spans="2:15" x14ac:dyDescent="0.2">
      <c r="B176" s="169"/>
      <c r="C176" s="170"/>
      <c r="D176" s="171"/>
      <c r="E176" s="171"/>
      <c r="F176" s="70"/>
      <c r="G176" s="71"/>
      <c r="H176" s="196"/>
      <c r="I176" s="197"/>
      <c r="J176" s="79"/>
      <c r="K176" s="198"/>
      <c r="L176" s="198"/>
      <c r="M176" s="198"/>
      <c r="N176" s="196"/>
      <c r="O176" s="97"/>
    </row>
    <row r="177" spans="2:15" x14ac:dyDescent="0.2">
      <c r="B177" s="169"/>
      <c r="C177" s="170"/>
      <c r="D177" s="171"/>
      <c r="E177" s="171"/>
      <c r="F177" s="70"/>
      <c r="G177" s="71"/>
      <c r="H177" s="196"/>
      <c r="I177" s="197"/>
      <c r="J177" s="79"/>
      <c r="K177" s="198"/>
      <c r="L177" s="198"/>
      <c r="M177" s="198"/>
      <c r="N177" s="196"/>
      <c r="O177" s="97"/>
    </row>
    <row r="178" spans="2:15" x14ac:dyDescent="0.2">
      <c r="B178" s="169"/>
      <c r="C178" s="170"/>
      <c r="D178" s="171"/>
      <c r="E178" s="171"/>
      <c r="F178" s="70"/>
      <c r="G178" s="71"/>
      <c r="H178" s="196"/>
      <c r="I178" s="197"/>
      <c r="J178" s="79"/>
      <c r="K178" s="198"/>
      <c r="L178" s="198"/>
      <c r="M178" s="198"/>
      <c r="N178" s="196"/>
      <c r="O178" s="97"/>
    </row>
    <row r="179" spans="2:15" x14ac:dyDescent="0.2">
      <c r="B179" s="169"/>
      <c r="C179" s="170"/>
      <c r="D179" s="171"/>
      <c r="E179" s="171"/>
      <c r="F179" s="70"/>
      <c r="G179" s="71"/>
      <c r="H179" s="196"/>
      <c r="I179" s="197"/>
      <c r="J179" s="79"/>
      <c r="K179" s="198"/>
      <c r="L179" s="198"/>
      <c r="M179" s="198"/>
      <c r="N179" s="196"/>
      <c r="O179" s="97"/>
    </row>
    <row r="180" spans="2:15" x14ac:dyDescent="0.2">
      <c r="B180" s="169"/>
      <c r="C180" s="170"/>
      <c r="D180" s="171"/>
      <c r="E180" s="171"/>
      <c r="F180" s="70"/>
      <c r="G180" s="71"/>
      <c r="H180" s="196"/>
      <c r="I180" s="197"/>
      <c r="J180" s="79"/>
      <c r="K180" s="198"/>
      <c r="L180" s="198"/>
      <c r="M180" s="198"/>
      <c r="N180" s="196"/>
      <c r="O180" s="97"/>
    </row>
    <row r="181" spans="2:15" x14ac:dyDescent="0.2">
      <c r="B181" s="169"/>
      <c r="C181" s="170"/>
      <c r="D181" s="171"/>
      <c r="E181" s="171"/>
      <c r="F181" s="70"/>
      <c r="G181" s="71"/>
      <c r="H181" s="196"/>
      <c r="I181" s="197"/>
      <c r="J181" s="79"/>
      <c r="K181" s="198"/>
      <c r="L181" s="198"/>
      <c r="M181" s="198"/>
      <c r="N181" s="196"/>
      <c r="O181" s="97"/>
    </row>
    <row r="182" spans="2:15" x14ac:dyDescent="0.2">
      <c r="B182" s="169"/>
      <c r="C182" s="170"/>
      <c r="D182" s="171"/>
      <c r="E182" s="171"/>
      <c r="F182" s="70"/>
      <c r="G182" s="71"/>
      <c r="H182" s="196"/>
      <c r="I182" s="197"/>
      <c r="J182" s="79"/>
      <c r="K182" s="198"/>
      <c r="L182" s="198"/>
      <c r="M182" s="198"/>
      <c r="N182" s="196"/>
      <c r="O182" s="97"/>
    </row>
    <row r="183" spans="2:15" x14ac:dyDescent="0.2">
      <c r="B183" s="169"/>
      <c r="C183" s="170"/>
      <c r="D183" s="171"/>
      <c r="E183" s="171"/>
      <c r="F183" s="70"/>
      <c r="G183" s="71"/>
      <c r="H183" s="196"/>
      <c r="I183" s="197"/>
      <c r="J183" s="79"/>
      <c r="K183" s="198"/>
      <c r="L183" s="198"/>
      <c r="M183" s="198"/>
      <c r="N183" s="196"/>
      <c r="O183" s="97"/>
    </row>
    <row r="184" spans="2:15" x14ac:dyDescent="0.2">
      <c r="B184" s="169"/>
      <c r="C184" s="170"/>
      <c r="D184" s="171"/>
      <c r="E184" s="171"/>
      <c r="F184" s="70"/>
      <c r="G184" s="71"/>
      <c r="H184" s="196"/>
      <c r="I184" s="197"/>
      <c r="J184" s="79"/>
      <c r="K184" s="198"/>
      <c r="L184" s="198"/>
      <c r="M184" s="198"/>
      <c r="N184" s="196"/>
      <c r="O184" s="97"/>
    </row>
    <row r="185" spans="2:15" x14ac:dyDescent="0.2">
      <c r="B185" s="169"/>
      <c r="C185" s="170"/>
      <c r="D185" s="171"/>
      <c r="E185" s="171"/>
      <c r="F185" s="70"/>
      <c r="G185" s="71"/>
      <c r="H185" s="196"/>
      <c r="I185" s="197"/>
      <c r="J185" s="79"/>
      <c r="K185" s="198"/>
      <c r="L185" s="198"/>
      <c r="M185" s="198"/>
      <c r="N185" s="196"/>
      <c r="O185" s="97"/>
    </row>
    <row r="186" spans="2:15" x14ac:dyDescent="0.2">
      <c r="B186" s="169"/>
      <c r="C186" s="170"/>
      <c r="D186" s="171"/>
      <c r="E186" s="171"/>
      <c r="F186" s="70"/>
      <c r="G186" s="71"/>
      <c r="H186" s="196"/>
      <c r="I186" s="197"/>
      <c r="J186" s="79"/>
      <c r="K186" s="198"/>
      <c r="L186" s="198"/>
      <c r="M186" s="198"/>
      <c r="N186" s="196"/>
      <c r="O186" s="97"/>
    </row>
    <row r="187" spans="2:15" x14ac:dyDescent="0.2">
      <c r="B187" s="169"/>
      <c r="C187" s="170"/>
      <c r="D187" s="171"/>
      <c r="E187" s="171"/>
      <c r="F187" s="70"/>
      <c r="G187" s="71"/>
      <c r="H187" s="196"/>
      <c r="I187" s="197"/>
      <c r="J187" s="79"/>
      <c r="K187" s="198"/>
      <c r="L187" s="198"/>
      <c r="M187" s="198"/>
      <c r="N187" s="196"/>
      <c r="O187" s="97"/>
    </row>
    <row r="188" spans="2:15" x14ac:dyDescent="0.2">
      <c r="B188" s="169"/>
      <c r="C188" s="170"/>
      <c r="D188" s="171"/>
      <c r="E188" s="171"/>
      <c r="F188" s="70"/>
      <c r="G188" s="71"/>
      <c r="H188" s="196"/>
      <c r="I188" s="197"/>
      <c r="J188" s="79"/>
      <c r="K188" s="198"/>
      <c r="L188" s="198"/>
      <c r="M188" s="198"/>
      <c r="N188" s="196"/>
      <c r="O188" s="97"/>
    </row>
    <row r="189" spans="2:15" x14ac:dyDescent="0.2">
      <c r="B189" s="169"/>
      <c r="C189" s="170"/>
      <c r="D189" s="171"/>
      <c r="E189" s="171"/>
      <c r="F189" s="70"/>
      <c r="G189" s="71"/>
      <c r="H189" s="196"/>
      <c r="I189" s="197"/>
      <c r="J189" s="79"/>
      <c r="K189" s="198"/>
      <c r="L189" s="198"/>
      <c r="M189" s="198"/>
      <c r="N189" s="196"/>
      <c r="O189" s="97"/>
    </row>
    <row r="190" spans="2:15" x14ac:dyDescent="0.2">
      <c r="B190" s="169"/>
      <c r="C190" s="170"/>
      <c r="D190" s="171"/>
      <c r="E190" s="171"/>
      <c r="F190" s="70"/>
      <c r="G190" s="71"/>
      <c r="H190" s="196"/>
      <c r="I190" s="197"/>
      <c r="J190" s="79"/>
      <c r="K190" s="198"/>
      <c r="L190" s="198"/>
      <c r="M190" s="198"/>
      <c r="N190" s="196"/>
      <c r="O190" s="97"/>
    </row>
    <row r="191" spans="2:15" x14ac:dyDescent="0.2">
      <c r="B191" s="169"/>
      <c r="C191" s="170"/>
      <c r="D191" s="171"/>
      <c r="E191" s="171"/>
      <c r="F191" s="70"/>
      <c r="G191" s="71"/>
      <c r="H191" s="196"/>
      <c r="I191" s="197"/>
      <c r="J191" s="79"/>
      <c r="K191" s="198"/>
      <c r="L191" s="198"/>
      <c r="M191" s="198"/>
      <c r="N191" s="196"/>
      <c r="O191" s="97"/>
    </row>
    <row r="192" spans="2:15" x14ac:dyDescent="0.2">
      <c r="B192" s="169"/>
      <c r="C192" s="170"/>
      <c r="D192" s="171"/>
      <c r="E192" s="171"/>
      <c r="F192" s="70"/>
      <c r="G192" s="71"/>
      <c r="H192" s="196"/>
      <c r="I192" s="197"/>
      <c r="J192" s="79"/>
      <c r="K192" s="198"/>
      <c r="L192" s="198"/>
      <c r="M192" s="198"/>
      <c r="N192" s="196"/>
      <c r="O192" s="97"/>
    </row>
    <row r="193" spans="2:15" x14ac:dyDescent="0.2">
      <c r="B193" s="169"/>
      <c r="C193" s="170"/>
      <c r="D193" s="171"/>
      <c r="E193" s="171"/>
      <c r="F193" s="70"/>
      <c r="G193" s="71"/>
      <c r="H193" s="196"/>
      <c r="I193" s="197"/>
      <c r="J193" s="79"/>
      <c r="K193" s="198"/>
      <c r="L193" s="198"/>
      <c r="M193" s="198"/>
      <c r="N193" s="196"/>
      <c r="O193" s="97"/>
    </row>
    <row r="194" spans="2:15" x14ac:dyDescent="0.2">
      <c r="B194" s="169"/>
      <c r="C194" s="170"/>
      <c r="D194" s="171"/>
      <c r="E194" s="171"/>
      <c r="F194" s="70"/>
      <c r="G194" s="71"/>
      <c r="H194" s="196"/>
      <c r="I194" s="197"/>
      <c r="J194" s="79"/>
      <c r="K194" s="198"/>
      <c r="L194" s="198"/>
      <c r="M194" s="198"/>
      <c r="N194" s="196"/>
      <c r="O194" s="97"/>
    </row>
    <row r="195" spans="2:15" x14ac:dyDescent="0.2">
      <c r="B195" s="169"/>
      <c r="C195" s="170"/>
      <c r="D195" s="171"/>
      <c r="E195" s="171"/>
      <c r="F195" s="70"/>
      <c r="G195" s="71"/>
      <c r="H195" s="196"/>
      <c r="I195" s="197"/>
      <c r="J195" s="79"/>
      <c r="K195" s="198"/>
      <c r="L195" s="198"/>
      <c r="M195" s="198"/>
      <c r="N195" s="196"/>
      <c r="O195" s="97"/>
    </row>
    <row r="196" spans="2:15" x14ac:dyDescent="0.2">
      <c r="B196" s="169"/>
      <c r="C196" s="170"/>
      <c r="D196" s="171"/>
      <c r="E196" s="171"/>
      <c r="F196" s="70"/>
      <c r="G196" s="71"/>
      <c r="H196" s="196"/>
      <c r="I196" s="197"/>
      <c r="J196" s="79"/>
      <c r="K196" s="198"/>
      <c r="L196" s="198"/>
      <c r="M196" s="198"/>
      <c r="N196" s="196"/>
      <c r="O196" s="97"/>
    </row>
    <row r="197" spans="2:15" x14ac:dyDescent="0.2">
      <c r="B197" s="169"/>
      <c r="C197" s="170"/>
      <c r="D197" s="171"/>
      <c r="E197" s="171"/>
      <c r="F197" s="70"/>
      <c r="G197" s="71"/>
      <c r="H197" s="196"/>
      <c r="I197" s="197"/>
      <c r="J197" s="79"/>
      <c r="K197" s="198"/>
      <c r="L197" s="198"/>
      <c r="M197" s="198"/>
      <c r="N197" s="196"/>
      <c r="O197" s="97"/>
    </row>
    <row r="198" spans="2:15" x14ac:dyDescent="0.2">
      <c r="B198" s="169"/>
      <c r="C198" s="170"/>
      <c r="D198" s="171"/>
      <c r="E198" s="171"/>
      <c r="F198" s="70"/>
      <c r="G198" s="71"/>
      <c r="H198" s="196"/>
      <c r="I198" s="197"/>
      <c r="J198" s="79"/>
      <c r="K198" s="198"/>
      <c r="L198" s="198"/>
      <c r="M198" s="198"/>
      <c r="N198" s="196"/>
      <c r="O198" s="97"/>
    </row>
    <row r="199" spans="2:15" x14ac:dyDescent="0.2">
      <c r="B199" s="169"/>
      <c r="C199" s="170"/>
      <c r="D199" s="171"/>
      <c r="E199" s="171"/>
      <c r="F199" s="70"/>
      <c r="G199" s="71"/>
      <c r="H199" s="196"/>
      <c r="I199" s="197"/>
      <c r="J199" s="79"/>
      <c r="K199" s="198"/>
      <c r="L199" s="198"/>
      <c r="M199" s="198"/>
      <c r="N199" s="196"/>
      <c r="O199" s="97"/>
    </row>
    <row r="200" spans="2:15" x14ac:dyDescent="0.2">
      <c r="B200" s="169"/>
      <c r="C200" s="170"/>
      <c r="D200" s="171"/>
      <c r="E200" s="171"/>
      <c r="F200" s="70"/>
      <c r="G200" s="71"/>
      <c r="H200" s="196"/>
      <c r="I200" s="197"/>
      <c r="J200" s="79"/>
      <c r="K200" s="198"/>
      <c r="L200" s="198"/>
      <c r="M200" s="198"/>
      <c r="N200" s="196"/>
      <c r="O200" s="97"/>
    </row>
    <row r="201" spans="2:15" x14ac:dyDescent="0.2">
      <c r="B201" s="169"/>
      <c r="C201" s="170"/>
      <c r="D201" s="171"/>
      <c r="E201" s="171"/>
      <c r="F201" s="70"/>
      <c r="G201" s="71"/>
      <c r="H201" s="196"/>
      <c r="I201" s="197"/>
      <c r="J201" s="79"/>
      <c r="K201" s="198"/>
      <c r="L201" s="198"/>
      <c r="M201" s="198"/>
      <c r="N201" s="196"/>
      <c r="O201" s="97"/>
    </row>
    <row r="202" spans="2:15" x14ac:dyDescent="0.2">
      <c r="B202" s="169"/>
      <c r="C202" s="170"/>
      <c r="D202" s="171"/>
      <c r="E202" s="171"/>
      <c r="F202" s="70"/>
      <c r="G202" s="71"/>
      <c r="H202" s="196"/>
      <c r="I202" s="197"/>
      <c r="J202" s="79"/>
      <c r="K202" s="198"/>
      <c r="L202" s="198"/>
      <c r="M202" s="198"/>
      <c r="N202" s="196"/>
      <c r="O202" s="97"/>
    </row>
    <row r="203" spans="2:15" x14ac:dyDescent="0.2">
      <c r="B203" s="169"/>
      <c r="C203" s="170"/>
      <c r="D203" s="171"/>
      <c r="E203" s="171"/>
      <c r="F203" s="70"/>
      <c r="G203" s="71"/>
      <c r="H203" s="196"/>
      <c r="I203" s="197"/>
      <c r="J203" s="79"/>
      <c r="K203" s="198"/>
      <c r="L203" s="198"/>
      <c r="M203" s="198"/>
      <c r="N203" s="196"/>
      <c r="O203" s="97"/>
    </row>
    <row r="204" spans="2:15" x14ac:dyDescent="0.2">
      <c r="B204" s="169"/>
      <c r="C204" s="170"/>
      <c r="D204" s="171"/>
      <c r="E204" s="171"/>
      <c r="F204" s="70"/>
      <c r="G204" s="71"/>
      <c r="H204" s="196"/>
      <c r="I204" s="197"/>
      <c r="J204" s="79"/>
      <c r="K204" s="198"/>
      <c r="L204" s="198"/>
      <c r="M204" s="198"/>
      <c r="N204" s="196"/>
      <c r="O204" s="97"/>
    </row>
    <row r="205" spans="2:15" x14ac:dyDescent="0.2">
      <c r="B205" s="169"/>
      <c r="C205" s="170"/>
      <c r="D205" s="171"/>
      <c r="E205" s="171"/>
      <c r="F205" s="70"/>
      <c r="G205" s="71"/>
      <c r="H205" s="196"/>
      <c r="I205" s="197"/>
      <c r="J205" s="79"/>
      <c r="K205" s="198"/>
      <c r="L205" s="198"/>
      <c r="M205" s="198"/>
      <c r="N205" s="196"/>
      <c r="O205" s="97"/>
    </row>
    <row r="206" spans="2:15" x14ac:dyDescent="0.2">
      <c r="B206" s="169"/>
      <c r="C206" s="170"/>
      <c r="D206" s="171"/>
      <c r="E206" s="171"/>
      <c r="F206" s="70"/>
      <c r="G206" s="71"/>
      <c r="H206" s="196"/>
      <c r="I206" s="197"/>
      <c r="J206" s="79"/>
      <c r="K206" s="198"/>
      <c r="L206" s="198"/>
      <c r="M206" s="198"/>
      <c r="N206" s="196"/>
      <c r="O206" s="97"/>
    </row>
    <row r="207" spans="2:15" x14ac:dyDescent="0.2">
      <c r="B207" s="169"/>
      <c r="C207" s="170"/>
      <c r="D207" s="171"/>
      <c r="E207" s="171"/>
      <c r="F207" s="70"/>
      <c r="G207" s="71"/>
      <c r="H207" s="196"/>
      <c r="I207" s="197"/>
      <c r="J207" s="79"/>
      <c r="K207" s="198"/>
      <c r="L207" s="198"/>
      <c r="M207" s="198"/>
      <c r="N207" s="196"/>
      <c r="O207" s="97"/>
    </row>
    <row r="208" spans="2:15" x14ac:dyDescent="0.2">
      <c r="B208" s="169"/>
      <c r="C208" s="170"/>
      <c r="D208" s="171"/>
      <c r="E208" s="171"/>
      <c r="F208" s="70"/>
      <c r="G208" s="71"/>
      <c r="H208" s="196"/>
      <c r="I208" s="197"/>
      <c r="J208" s="79"/>
      <c r="K208" s="198"/>
      <c r="L208" s="198"/>
      <c r="M208" s="198"/>
      <c r="N208" s="196"/>
      <c r="O208" s="97"/>
    </row>
    <row r="209" spans="2:15" x14ac:dyDescent="0.2">
      <c r="B209" s="169"/>
      <c r="C209" s="170"/>
      <c r="D209" s="171"/>
      <c r="E209" s="171"/>
      <c r="F209" s="70"/>
      <c r="G209" s="71"/>
      <c r="H209" s="196"/>
      <c r="I209" s="197"/>
      <c r="J209" s="79"/>
      <c r="K209" s="198"/>
      <c r="L209" s="198"/>
      <c r="M209" s="198"/>
      <c r="N209" s="196"/>
      <c r="O209" s="97"/>
    </row>
    <row r="210" spans="2:15" x14ac:dyDescent="0.2">
      <c r="B210" s="169"/>
      <c r="C210" s="170"/>
      <c r="D210" s="171"/>
      <c r="E210" s="171"/>
      <c r="F210" s="70"/>
      <c r="G210" s="71"/>
      <c r="H210" s="196"/>
      <c r="I210" s="197"/>
      <c r="J210" s="79"/>
      <c r="K210" s="198"/>
      <c r="L210" s="198"/>
      <c r="M210" s="198"/>
      <c r="N210" s="196"/>
      <c r="O210" s="97"/>
    </row>
    <row r="211" spans="2:15" x14ac:dyDescent="0.2">
      <c r="B211" s="169"/>
      <c r="C211" s="170"/>
      <c r="D211" s="171"/>
      <c r="E211" s="171"/>
      <c r="F211" s="70"/>
      <c r="G211" s="71"/>
      <c r="H211" s="196"/>
      <c r="I211" s="197"/>
      <c r="J211" s="79"/>
      <c r="K211" s="198"/>
      <c r="L211" s="198"/>
      <c r="M211" s="198"/>
      <c r="N211" s="196"/>
      <c r="O211" s="97"/>
    </row>
    <row r="212" spans="2:15" x14ac:dyDescent="0.2">
      <c r="B212" s="169"/>
      <c r="C212" s="170"/>
      <c r="D212" s="171"/>
      <c r="E212" s="171"/>
      <c r="F212" s="70"/>
      <c r="G212" s="71"/>
      <c r="H212" s="196"/>
      <c r="I212" s="197"/>
      <c r="J212" s="79"/>
      <c r="K212" s="198"/>
      <c r="L212" s="198"/>
      <c r="M212" s="198"/>
      <c r="N212" s="196"/>
      <c r="O212" s="97"/>
    </row>
    <row r="213" spans="2:15" x14ac:dyDescent="0.2">
      <c r="B213" s="169"/>
      <c r="C213" s="170"/>
      <c r="D213" s="171"/>
      <c r="E213" s="171"/>
      <c r="F213" s="70"/>
      <c r="G213" s="71"/>
      <c r="H213" s="196"/>
      <c r="I213" s="197"/>
      <c r="J213" s="79"/>
      <c r="K213" s="198"/>
      <c r="L213" s="198"/>
      <c r="M213" s="198"/>
      <c r="N213" s="196"/>
      <c r="O213" s="97"/>
    </row>
    <row r="214" spans="2:15" x14ac:dyDescent="0.2">
      <c r="B214" s="169"/>
      <c r="C214" s="170"/>
      <c r="D214" s="171"/>
      <c r="E214" s="171"/>
      <c r="F214" s="70"/>
      <c r="G214" s="71"/>
      <c r="H214" s="196"/>
      <c r="I214" s="197"/>
      <c r="J214" s="79"/>
      <c r="K214" s="198"/>
      <c r="L214" s="198"/>
      <c r="M214" s="198"/>
      <c r="N214" s="196"/>
      <c r="O214" s="97"/>
    </row>
    <row r="215" spans="2:15" x14ac:dyDescent="0.2">
      <c r="B215" s="169"/>
      <c r="C215" s="170"/>
      <c r="D215" s="171"/>
      <c r="E215" s="171"/>
      <c r="F215" s="70"/>
      <c r="G215" s="71"/>
      <c r="H215" s="196"/>
      <c r="I215" s="197"/>
      <c r="J215" s="79"/>
      <c r="K215" s="198"/>
      <c r="L215" s="198"/>
      <c r="M215" s="198"/>
      <c r="N215" s="196"/>
      <c r="O215" s="97"/>
    </row>
    <row r="216" spans="2:15" x14ac:dyDescent="0.2">
      <c r="B216" s="169"/>
      <c r="C216" s="170"/>
      <c r="D216" s="171"/>
      <c r="E216" s="171"/>
      <c r="F216" s="70"/>
      <c r="G216" s="71"/>
      <c r="H216" s="196"/>
      <c r="I216" s="197"/>
      <c r="J216" s="79"/>
      <c r="K216" s="198"/>
      <c r="L216" s="198"/>
      <c r="M216" s="198"/>
      <c r="N216" s="196"/>
      <c r="O216" s="97"/>
    </row>
    <row r="217" spans="2:15" x14ac:dyDescent="0.2">
      <c r="B217" s="169"/>
      <c r="C217" s="170"/>
      <c r="D217" s="171"/>
      <c r="E217" s="171"/>
      <c r="F217" s="70"/>
      <c r="G217" s="71"/>
      <c r="H217" s="196"/>
      <c r="I217" s="197"/>
      <c r="J217" s="79"/>
      <c r="K217" s="198"/>
      <c r="L217" s="198"/>
      <c r="M217" s="198"/>
      <c r="N217" s="196"/>
      <c r="O217" s="97"/>
    </row>
    <row r="218" spans="2:15" x14ac:dyDescent="0.2">
      <c r="B218" s="169"/>
      <c r="C218" s="170"/>
      <c r="D218" s="171"/>
      <c r="E218" s="171"/>
      <c r="F218" s="70"/>
      <c r="G218" s="71"/>
      <c r="H218" s="196"/>
      <c r="I218" s="197"/>
      <c r="J218" s="79"/>
      <c r="K218" s="198"/>
      <c r="L218" s="198"/>
      <c r="M218" s="198"/>
      <c r="N218" s="196"/>
      <c r="O218" s="97"/>
    </row>
    <row r="219" spans="2:15" x14ac:dyDescent="0.2">
      <c r="B219" s="169"/>
      <c r="C219" s="170"/>
      <c r="D219" s="171"/>
      <c r="E219" s="171"/>
      <c r="F219" s="70"/>
      <c r="G219" s="71"/>
      <c r="H219" s="196"/>
      <c r="I219" s="197"/>
      <c r="J219" s="79"/>
      <c r="K219" s="198"/>
      <c r="L219" s="198"/>
      <c r="M219" s="198"/>
      <c r="N219" s="196"/>
      <c r="O219" s="97"/>
    </row>
    <row r="220" spans="2:15" x14ac:dyDescent="0.2">
      <c r="B220" s="169"/>
      <c r="C220" s="170"/>
      <c r="D220" s="171"/>
      <c r="E220" s="171"/>
      <c r="F220" s="70"/>
      <c r="G220" s="71"/>
      <c r="H220" s="196"/>
      <c r="I220" s="197"/>
      <c r="J220" s="79"/>
      <c r="K220" s="198"/>
      <c r="L220" s="198"/>
      <c r="M220" s="198"/>
      <c r="N220" s="196"/>
      <c r="O220" s="97"/>
    </row>
    <row r="221" spans="2:15" x14ac:dyDescent="0.2">
      <c r="B221" s="169"/>
      <c r="C221" s="170"/>
      <c r="D221" s="171"/>
      <c r="E221" s="171"/>
      <c r="F221" s="70"/>
      <c r="G221" s="71"/>
      <c r="H221" s="196"/>
      <c r="I221" s="197"/>
      <c r="J221" s="79"/>
      <c r="K221" s="198"/>
      <c r="L221" s="198"/>
      <c r="M221" s="198"/>
      <c r="N221" s="196"/>
      <c r="O221" s="97"/>
    </row>
    <row r="222" spans="2:15" x14ac:dyDescent="0.2">
      <c r="B222" s="169"/>
      <c r="C222" s="170"/>
      <c r="D222" s="171"/>
      <c r="E222" s="171"/>
      <c r="F222" s="70"/>
      <c r="G222" s="71"/>
      <c r="H222" s="196"/>
      <c r="I222" s="197"/>
      <c r="J222" s="79"/>
      <c r="K222" s="198"/>
      <c r="L222" s="198"/>
      <c r="M222" s="198"/>
      <c r="N222" s="196"/>
      <c r="O222" s="97"/>
    </row>
    <row r="223" spans="2:15" x14ac:dyDescent="0.2">
      <c r="B223" s="169"/>
      <c r="C223" s="170"/>
      <c r="D223" s="171"/>
      <c r="E223" s="171"/>
      <c r="F223" s="70"/>
      <c r="G223" s="71"/>
      <c r="H223" s="196"/>
      <c r="I223" s="197"/>
      <c r="J223" s="79"/>
      <c r="K223" s="198"/>
      <c r="L223" s="198"/>
      <c r="M223" s="198"/>
      <c r="N223" s="196"/>
      <c r="O223" s="97"/>
    </row>
    <row r="224" spans="2:15" x14ac:dyDescent="0.2">
      <c r="B224" s="169"/>
      <c r="C224" s="170"/>
      <c r="D224" s="171"/>
      <c r="E224" s="171"/>
      <c r="F224" s="70"/>
      <c r="G224" s="71"/>
      <c r="H224" s="196"/>
      <c r="I224" s="197"/>
      <c r="J224" s="79"/>
      <c r="K224" s="198"/>
      <c r="L224" s="198"/>
      <c r="M224" s="198"/>
      <c r="N224" s="196"/>
      <c r="O224" s="97"/>
    </row>
    <row r="225" spans="2:15" x14ac:dyDescent="0.2">
      <c r="B225" s="169"/>
      <c r="C225" s="170"/>
      <c r="D225" s="171"/>
      <c r="E225" s="171"/>
      <c r="F225" s="70"/>
      <c r="G225" s="71"/>
      <c r="H225" s="196"/>
      <c r="I225" s="197"/>
      <c r="J225" s="79"/>
      <c r="K225" s="198"/>
      <c r="L225" s="198"/>
      <c r="M225" s="198"/>
      <c r="N225" s="196"/>
      <c r="O225" s="97"/>
    </row>
    <row r="226" spans="2:15" x14ac:dyDescent="0.2">
      <c r="B226" s="169"/>
      <c r="C226" s="170"/>
      <c r="D226" s="171"/>
      <c r="E226" s="171"/>
      <c r="F226" s="70"/>
      <c r="G226" s="71"/>
      <c r="H226" s="196"/>
      <c r="I226" s="197"/>
      <c r="J226" s="79"/>
      <c r="K226" s="198"/>
      <c r="L226" s="198"/>
      <c r="M226" s="198"/>
      <c r="N226" s="196"/>
      <c r="O226" s="97"/>
    </row>
    <row r="227" spans="2:15" x14ac:dyDescent="0.2">
      <c r="B227" s="169"/>
      <c r="C227" s="170"/>
      <c r="D227" s="171"/>
      <c r="E227" s="171"/>
      <c r="F227" s="70"/>
      <c r="G227" s="71"/>
      <c r="H227" s="196"/>
      <c r="I227" s="197"/>
      <c r="J227" s="79"/>
      <c r="K227" s="198"/>
      <c r="L227" s="198"/>
      <c r="M227" s="198"/>
      <c r="N227" s="196"/>
      <c r="O227" s="97"/>
    </row>
    <row r="228" spans="2:15" x14ac:dyDescent="0.2">
      <c r="B228" s="169"/>
      <c r="C228" s="170"/>
      <c r="D228" s="171"/>
      <c r="E228" s="171"/>
      <c r="F228" s="70"/>
      <c r="G228" s="71"/>
      <c r="H228" s="196"/>
      <c r="I228" s="197"/>
      <c r="J228" s="79"/>
      <c r="K228" s="198"/>
      <c r="L228" s="198"/>
      <c r="M228" s="198"/>
      <c r="N228" s="196"/>
      <c r="O228" s="97"/>
    </row>
    <row r="229" spans="2:15" x14ac:dyDescent="0.2">
      <c r="B229" s="169"/>
      <c r="C229" s="170"/>
      <c r="D229" s="171"/>
      <c r="E229" s="171"/>
      <c r="F229" s="70"/>
      <c r="G229" s="71"/>
      <c r="H229" s="196"/>
      <c r="I229" s="197"/>
      <c r="J229" s="79"/>
      <c r="K229" s="198"/>
      <c r="L229" s="198"/>
      <c r="M229" s="198"/>
      <c r="N229" s="196"/>
      <c r="O229" s="97"/>
    </row>
    <row r="230" spans="2:15" x14ac:dyDescent="0.2">
      <c r="B230" s="169"/>
      <c r="C230" s="170"/>
      <c r="D230" s="171"/>
      <c r="E230" s="171"/>
      <c r="F230" s="70"/>
      <c r="G230" s="71"/>
      <c r="H230" s="196"/>
      <c r="I230" s="197"/>
      <c r="J230" s="79"/>
      <c r="K230" s="198"/>
      <c r="L230" s="198"/>
      <c r="M230" s="198"/>
      <c r="N230" s="196"/>
      <c r="O230" s="97"/>
    </row>
    <row r="231" spans="2:15" x14ac:dyDescent="0.2">
      <c r="B231" s="169"/>
      <c r="C231" s="170"/>
      <c r="D231" s="171"/>
      <c r="E231" s="171"/>
      <c r="F231" s="70"/>
      <c r="G231" s="71"/>
      <c r="H231" s="196"/>
      <c r="I231" s="197"/>
      <c r="J231" s="79"/>
      <c r="K231" s="198"/>
      <c r="L231" s="198"/>
      <c r="M231" s="198"/>
      <c r="N231" s="196"/>
      <c r="O231" s="97"/>
    </row>
    <row r="232" spans="2:15" x14ac:dyDescent="0.2">
      <c r="B232" s="169"/>
      <c r="C232" s="170"/>
      <c r="D232" s="171"/>
      <c r="E232" s="171"/>
      <c r="F232" s="70"/>
      <c r="G232" s="71"/>
      <c r="H232" s="196"/>
      <c r="I232" s="197"/>
      <c r="J232" s="79"/>
      <c r="K232" s="198"/>
      <c r="L232" s="198"/>
      <c r="M232" s="198"/>
      <c r="N232" s="196"/>
      <c r="O232" s="97"/>
    </row>
    <row r="233" spans="2:15" x14ac:dyDescent="0.2">
      <c r="B233" s="169"/>
      <c r="C233" s="170"/>
      <c r="D233" s="171"/>
      <c r="E233" s="171"/>
      <c r="F233" s="70"/>
      <c r="G233" s="71"/>
      <c r="H233" s="196"/>
      <c r="I233" s="197"/>
      <c r="J233" s="79"/>
      <c r="K233" s="198"/>
      <c r="L233" s="198"/>
      <c r="M233" s="198"/>
      <c r="N233" s="196"/>
      <c r="O233" s="97"/>
    </row>
    <row r="234" spans="2:15" x14ac:dyDescent="0.2">
      <c r="B234" s="169"/>
      <c r="C234" s="170"/>
      <c r="D234" s="171"/>
      <c r="E234" s="171"/>
      <c r="F234" s="70"/>
      <c r="G234" s="71"/>
      <c r="H234" s="196"/>
      <c r="I234" s="197"/>
      <c r="J234" s="79"/>
      <c r="K234" s="198"/>
      <c r="L234" s="198"/>
      <c r="M234" s="198"/>
      <c r="N234" s="196"/>
      <c r="O234" s="97"/>
    </row>
    <row r="235" spans="2:15" x14ac:dyDescent="0.2">
      <c r="B235" s="169"/>
      <c r="C235" s="170"/>
      <c r="D235" s="171"/>
      <c r="E235" s="171"/>
      <c r="F235" s="70"/>
      <c r="G235" s="71"/>
      <c r="H235" s="196"/>
      <c r="I235" s="197"/>
      <c r="J235" s="79"/>
      <c r="K235" s="198"/>
      <c r="L235" s="198"/>
      <c r="M235" s="198"/>
      <c r="N235" s="196"/>
      <c r="O235" s="97"/>
    </row>
    <row r="236" spans="2:15" x14ac:dyDescent="0.2">
      <c r="B236" s="169"/>
      <c r="C236" s="170"/>
      <c r="D236" s="171"/>
      <c r="E236" s="171"/>
      <c r="F236" s="70"/>
      <c r="G236" s="71"/>
      <c r="H236" s="196"/>
      <c r="I236" s="197"/>
      <c r="J236" s="79"/>
      <c r="K236" s="198"/>
      <c r="L236" s="198"/>
      <c r="M236" s="198"/>
      <c r="N236" s="196"/>
      <c r="O236" s="97"/>
    </row>
    <row r="237" spans="2:15" x14ac:dyDescent="0.2">
      <c r="B237" s="169"/>
      <c r="C237" s="170"/>
      <c r="D237" s="171"/>
      <c r="E237" s="171"/>
      <c r="F237" s="70"/>
      <c r="G237" s="71"/>
      <c r="H237" s="196"/>
      <c r="I237" s="197"/>
      <c r="J237" s="79"/>
      <c r="K237" s="198"/>
      <c r="L237" s="198"/>
      <c r="M237" s="198"/>
      <c r="N237" s="196"/>
      <c r="O237" s="97"/>
    </row>
    <row r="238" spans="2:15" x14ac:dyDescent="0.2">
      <c r="B238" s="169"/>
      <c r="C238" s="170"/>
      <c r="D238" s="171"/>
      <c r="E238" s="171"/>
      <c r="F238" s="70"/>
      <c r="G238" s="71"/>
      <c r="H238" s="196"/>
      <c r="I238" s="197"/>
      <c r="J238" s="79"/>
      <c r="K238" s="198"/>
      <c r="L238" s="198"/>
      <c r="M238" s="198"/>
      <c r="N238" s="196"/>
      <c r="O238" s="97"/>
    </row>
    <row r="239" spans="2:15" x14ac:dyDescent="0.2">
      <c r="B239" s="169"/>
      <c r="C239" s="170"/>
      <c r="D239" s="171"/>
      <c r="E239" s="171"/>
      <c r="F239" s="70"/>
      <c r="G239" s="71"/>
      <c r="H239" s="196"/>
      <c r="I239" s="197"/>
      <c r="J239" s="79"/>
      <c r="K239" s="198"/>
      <c r="L239" s="198"/>
      <c r="M239" s="198"/>
      <c r="N239" s="196"/>
      <c r="O239" s="97"/>
    </row>
    <row r="240" spans="2:15" x14ac:dyDescent="0.2">
      <c r="B240" s="169"/>
      <c r="C240" s="170"/>
      <c r="D240" s="171"/>
      <c r="E240" s="171"/>
      <c r="F240" s="70"/>
      <c r="G240" s="71"/>
      <c r="H240" s="196"/>
      <c r="I240" s="197"/>
      <c r="J240" s="79"/>
      <c r="K240" s="198"/>
      <c r="L240" s="198"/>
      <c r="M240" s="198"/>
      <c r="N240" s="196"/>
      <c r="O240" s="97"/>
    </row>
    <row r="241" spans="2:15" x14ac:dyDescent="0.2">
      <c r="B241" s="169"/>
      <c r="C241" s="170"/>
      <c r="D241" s="171"/>
      <c r="E241" s="171"/>
      <c r="F241" s="70"/>
      <c r="G241" s="71"/>
      <c r="H241" s="196"/>
      <c r="I241" s="197"/>
      <c r="J241" s="79"/>
      <c r="K241" s="198"/>
      <c r="L241" s="198"/>
      <c r="M241" s="198"/>
      <c r="N241" s="196"/>
      <c r="O241" s="97"/>
    </row>
    <row r="242" spans="2:15" x14ac:dyDescent="0.2">
      <c r="B242" s="169"/>
      <c r="C242" s="170"/>
      <c r="D242" s="171"/>
      <c r="E242" s="171"/>
      <c r="F242" s="70"/>
      <c r="G242" s="71"/>
      <c r="H242" s="196"/>
      <c r="I242" s="197"/>
      <c r="J242" s="79"/>
      <c r="K242" s="198"/>
      <c r="L242" s="198"/>
      <c r="M242" s="198"/>
      <c r="N242" s="196"/>
      <c r="O242" s="97"/>
    </row>
    <row r="243" spans="2:15" x14ac:dyDescent="0.2">
      <c r="B243" s="169"/>
      <c r="C243" s="170"/>
      <c r="D243" s="171"/>
      <c r="E243" s="171"/>
      <c r="F243" s="70"/>
      <c r="G243" s="71"/>
      <c r="H243" s="196"/>
      <c r="I243" s="197"/>
      <c r="J243" s="79"/>
      <c r="K243" s="198"/>
      <c r="L243" s="198"/>
      <c r="M243" s="198"/>
      <c r="N243" s="196"/>
      <c r="O243" s="97"/>
    </row>
    <row r="244" spans="2:15" x14ac:dyDescent="0.2">
      <c r="B244" s="169"/>
      <c r="C244" s="170"/>
      <c r="D244" s="171"/>
      <c r="E244" s="171"/>
      <c r="F244" s="70"/>
      <c r="G244" s="71"/>
      <c r="H244" s="196"/>
      <c r="I244" s="197"/>
      <c r="J244" s="79"/>
      <c r="K244" s="198"/>
      <c r="L244" s="198"/>
      <c r="M244" s="198"/>
      <c r="N244" s="196"/>
      <c r="O244" s="97"/>
    </row>
    <row r="245" spans="2:15" x14ac:dyDescent="0.2">
      <c r="B245" s="169"/>
      <c r="C245" s="170"/>
      <c r="D245" s="171"/>
      <c r="E245" s="171"/>
      <c r="F245" s="70"/>
      <c r="G245" s="71"/>
      <c r="H245" s="196"/>
      <c r="I245" s="197"/>
      <c r="J245" s="79"/>
      <c r="K245" s="198"/>
      <c r="L245" s="198"/>
      <c r="M245" s="198"/>
      <c r="N245" s="196"/>
      <c r="O245" s="97"/>
    </row>
    <row r="246" spans="2:15" x14ac:dyDescent="0.2">
      <c r="B246" s="169"/>
      <c r="C246" s="170"/>
      <c r="D246" s="171"/>
      <c r="E246" s="171"/>
      <c r="F246" s="70"/>
      <c r="G246" s="71"/>
      <c r="H246" s="196"/>
      <c r="I246" s="197"/>
      <c r="J246" s="79"/>
      <c r="K246" s="198"/>
      <c r="L246" s="198"/>
      <c r="M246" s="198"/>
      <c r="N246" s="196"/>
      <c r="O246" s="97"/>
    </row>
    <row r="247" spans="2:15" x14ac:dyDescent="0.2">
      <c r="B247" s="169"/>
      <c r="C247" s="170"/>
      <c r="D247" s="171"/>
      <c r="E247" s="171"/>
      <c r="F247" s="70"/>
      <c r="G247" s="71"/>
      <c r="H247" s="196"/>
      <c r="I247" s="197"/>
      <c r="J247" s="79"/>
      <c r="K247" s="198"/>
      <c r="L247" s="198"/>
      <c r="M247" s="198"/>
      <c r="N247" s="196"/>
      <c r="O247" s="97"/>
    </row>
    <row r="248" spans="2:15" x14ac:dyDescent="0.2">
      <c r="B248" s="169"/>
      <c r="C248" s="170"/>
      <c r="D248" s="171"/>
      <c r="E248" s="171"/>
      <c r="F248" s="70"/>
      <c r="G248" s="71"/>
      <c r="H248" s="196"/>
      <c r="I248" s="197"/>
      <c r="J248" s="79"/>
      <c r="K248" s="198"/>
      <c r="L248" s="198"/>
      <c r="M248" s="198"/>
      <c r="N248" s="196"/>
      <c r="O248" s="97"/>
    </row>
    <row r="249" spans="2:15" x14ac:dyDescent="0.2">
      <c r="B249" s="169"/>
      <c r="C249" s="170"/>
      <c r="D249" s="171"/>
      <c r="E249" s="171"/>
      <c r="F249" s="70"/>
      <c r="G249" s="71"/>
      <c r="H249" s="196"/>
      <c r="I249" s="197"/>
      <c r="J249" s="79"/>
      <c r="K249" s="198"/>
      <c r="L249" s="198"/>
      <c r="M249" s="198"/>
      <c r="N249" s="196"/>
      <c r="O249" s="97"/>
    </row>
    <row r="250" spans="2:15" x14ac:dyDescent="0.2">
      <c r="B250" s="169"/>
      <c r="C250" s="170"/>
      <c r="D250" s="171"/>
      <c r="E250" s="171"/>
      <c r="F250" s="70"/>
      <c r="G250" s="71"/>
      <c r="H250" s="196"/>
      <c r="I250" s="197"/>
      <c r="J250" s="79"/>
      <c r="K250" s="198"/>
      <c r="L250" s="198"/>
      <c r="M250" s="198"/>
      <c r="N250" s="196"/>
      <c r="O250" s="97"/>
    </row>
    <row r="251" spans="2:15" x14ac:dyDescent="0.2">
      <c r="B251" s="169"/>
      <c r="C251" s="170"/>
      <c r="D251" s="171"/>
      <c r="E251" s="171"/>
      <c r="F251" s="70"/>
      <c r="G251" s="71"/>
      <c r="H251" s="196"/>
      <c r="I251" s="197"/>
      <c r="J251" s="79"/>
      <c r="K251" s="198"/>
      <c r="L251" s="198"/>
      <c r="M251" s="198"/>
      <c r="N251" s="196"/>
      <c r="O251" s="97"/>
    </row>
    <row r="252" spans="2:15" x14ac:dyDescent="0.2">
      <c r="B252" s="169"/>
      <c r="C252" s="170"/>
      <c r="D252" s="171"/>
      <c r="E252" s="171"/>
      <c r="F252" s="70"/>
      <c r="G252" s="71"/>
      <c r="H252" s="196"/>
      <c r="I252" s="197"/>
      <c r="J252" s="79"/>
      <c r="K252" s="198"/>
      <c r="L252" s="198"/>
      <c r="M252" s="198"/>
      <c r="N252" s="196"/>
      <c r="O252" s="97"/>
    </row>
    <row r="253" spans="2:15" x14ac:dyDescent="0.2">
      <c r="B253" s="169"/>
      <c r="C253" s="170"/>
      <c r="D253" s="171"/>
      <c r="E253" s="171"/>
      <c r="F253" s="70"/>
      <c r="G253" s="71"/>
      <c r="H253" s="196"/>
      <c r="I253" s="197"/>
      <c r="J253" s="79"/>
      <c r="K253" s="198"/>
      <c r="L253" s="198"/>
      <c r="M253" s="198"/>
      <c r="N253" s="196"/>
      <c r="O253" s="97"/>
    </row>
    <row r="254" spans="2:15" x14ac:dyDescent="0.2">
      <c r="B254" s="169"/>
      <c r="C254" s="170"/>
      <c r="D254" s="171"/>
      <c r="E254" s="171"/>
      <c r="F254" s="70"/>
      <c r="G254" s="71"/>
      <c r="H254" s="196"/>
      <c r="I254" s="197"/>
      <c r="J254" s="79"/>
      <c r="K254" s="198"/>
      <c r="L254" s="198"/>
      <c r="M254" s="198"/>
      <c r="N254" s="196"/>
      <c r="O254" s="97"/>
    </row>
    <row r="255" spans="2:15" x14ac:dyDescent="0.2">
      <c r="B255" s="169"/>
      <c r="C255" s="170"/>
      <c r="D255" s="171"/>
      <c r="E255" s="171"/>
      <c r="F255" s="70"/>
      <c r="G255" s="71"/>
      <c r="H255" s="196"/>
      <c r="I255" s="197"/>
      <c r="J255" s="79"/>
      <c r="K255" s="198"/>
      <c r="L255" s="198"/>
      <c r="M255" s="198"/>
      <c r="N255" s="196"/>
      <c r="O255" s="97"/>
    </row>
    <row r="256" spans="2:15" x14ac:dyDescent="0.2">
      <c r="B256" s="169"/>
      <c r="C256" s="170"/>
      <c r="D256" s="171"/>
      <c r="E256" s="171"/>
      <c r="F256" s="70"/>
      <c r="G256" s="71"/>
      <c r="H256" s="196"/>
      <c r="I256" s="197"/>
      <c r="J256" s="79"/>
      <c r="K256" s="198"/>
      <c r="L256" s="198"/>
      <c r="M256" s="198"/>
      <c r="N256" s="196"/>
      <c r="O256" s="97"/>
    </row>
    <row r="257" spans="2:15" x14ac:dyDescent="0.2">
      <c r="B257" s="169"/>
      <c r="C257" s="170"/>
      <c r="D257" s="171"/>
      <c r="E257" s="171"/>
      <c r="F257" s="70"/>
      <c r="G257" s="71"/>
      <c r="H257" s="196"/>
      <c r="I257" s="197"/>
      <c r="J257" s="79"/>
      <c r="K257" s="198"/>
      <c r="L257" s="198"/>
      <c r="M257" s="198"/>
      <c r="N257" s="196"/>
      <c r="O257" s="97"/>
    </row>
    <row r="258" spans="2:15" x14ac:dyDescent="0.2">
      <c r="B258" s="169"/>
      <c r="C258" s="170"/>
      <c r="D258" s="171"/>
      <c r="E258" s="171"/>
      <c r="F258" s="70"/>
      <c r="G258" s="71"/>
      <c r="H258" s="196"/>
      <c r="I258" s="197"/>
      <c r="J258" s="79"/>
      <c r="K258" s="198"/>
      <c r="L258" s="198"/>
      <c r="M258" s="198"/>
      <c r="N258" s="196"/>
      <c r="O258" s="97"/>
    </row>
    <row r="259" spans="2:15" x14ac:dyDescent="0.2">
      <c r="B259" s="169"/>
      <c r="C259" s="170"/>
      <c r="D259" s="171"/>
      <c r="E259" s="171"/>
      <c r="F259" s="70"/>
      <c r="G259" s="71"/>
      <c r="H259" s="196"/>
      <c r="I259" s="197"/>
      <c r="J259" s="79"/>
      <c r="K259" s="198"/>
      <c r="L259" s="198"/>
      <c r="M259" s="198"/>
      <c r="N259" s="196"/>
      <c r="O259" s="97"/>
    </row>
    <row r="260" spans="2:15" x14ac:dyDescent="0.2">
      <c r="B260" s="169"/>
      <c r="C260" s="170"/>
      <c r="D260" s="171"/>
      <c r="E260" s="171"/>
      <c r="F260" s="70"/>
      <c r="G260" s="71"/>
      <c r="H260" s="196"/>
      <c r="I260" s="197"/>
      <c r="J260" s="79"/>
      <c r="K260" s="198"/>
      <c r="L260" s="198"/>
      <c r="M260" s="198"/>
      <c r="N260" s="196"/>
      <c r="O260" s="97"/>
    </row>
    <row r="261" spans="2:15" x14ac:dyDescent="0.2">
      <c r="B261" s="169"/>
      <c r="C261" s="170"/>
      <c r="D261" s="171"/>
      <c r="E261" s="171"/>
      <c r="F261" s="70"/>
      <c r="G261" s="71"/>
      <c r="H261" s="196"/>
      <c r="I261" s="197"/>
      <c r="J261" s="79"/>
      <c r="K261" s="198"/>
      <c r="L261" s="198"/>
      <c r="M261" s="198"/>
      <c r="N261" s="196"/>
      <c r="O261" s="97"/>
    </row>
    <row r="262" spans="2:15" x14ac:dyDescent="0.2">
      <c r="B262" s="169"/>
      <c r="C262" s="170"/>
      <c r="D262" s="171"/>
      <c r="E262" s="171"/>
      <c r="F262" s="70"/>
      <c r="G262" s="71"/>
      <c r="H262" s="196"/>
      <c r="I262" s="197"/>
      <c r="J262" s="79"/>
      <c r="K262" s="198"/>
      <c r="L262" s="198"/>
      <c r="M262" s="198"/>
      <c r="N262" s="196"/>
      <c r="O262" s="97"/>
    </row>
    <row r="263" spans="2:15" x14ac:dyDescent="0.2">
      <c r="B263" s="169"/>
      <c r="C263" s="170"/>
      <c r="D263" s="171"/>
      <c r="E263" s="171"/>
      <c r="F263" s="70"/>
      <c r="G263" s="71"/>
      <c r="H263" s="196"/>
      <c r="I263" s="197"/>
      <c r="J263" s="79"/>
      <c r="K263" s="198"/>
      <c r="L263" s="198"/>
      <c r="M263" s="198"/>
      <c r="N263" s="196"/>
      <c r="O263" s="97"/>
    </row>
    <row r="264" spans="2:15" x14ac:dyDescent="0.2">
      <c r="B264" s="169"/>
      <c r="C264" s="170"/>
      <c r="D264" s="171"/>
      <c r="E264" s="171"/>
      <c r="F264" s="70"/>
      <c r="G264" s="71"/>
      <c r="H264" s="196"/>
      <c r="I264" s="197"/>
      <c r="J264" s="79"/>
      <c r="K264" s="198"/>
      <c r="L264" s="198"/>
      <c r="M264" s="198"/>
      <c r="N264" s="196"/>
      <c r="O264" s="97"/>
    </row>
    <row r="265" spans="2:15" x14ac:dyDescent="0.2">
      <c r="B265" s="169"/>
      <c r="C265" s="170"/>
      <c r="D265" s="171"/>
      <c r="E265" s="171"/>
      <c r="F265" s="70"/>
      <c r="G265" s="71"/>
      <c r="H265" s="196"/>
      <c r="I265" s="197"/>
      <c r="J265" s="79"/>
      <c r="K265" s="198"/>
      <c r="L265" s="198"/>
      <c r="M265" s="198"/>
      <c r="N265" s="196"/>
      <c r="O265" s="97"/>
    </row>
    <row r="266" spans="2:15" x14ac:dyDescent="0.2">
      <c r="B266" s="169"/>
      <c r="C266" s="170"/>
      <c r="D266" s="171"/>
      <c r="E266" s="171"/>
      <c r="F266" s="70"/>
      <c r="G266" s="71"/>
      <c r="H266" s="196"/>
      <c r="I266" s="197"/>
      <c r="J266" s="79"/>
      <c r="K266" s="198"/>
      <c r="L266" s="198"/>
      <c r="M266" s="198"/>
      <c r="N266" s="196"/>
      <c r="O266" s="97"/>
    </row>
    <row r="267" spans="2:15" x14ac:dyDescent="0.2">
      <c r="B267" s="169"/>
      <c r="C267" s="170"/>
      <c r="D267" s="171"/>
      <c r="E267" s="171"/>
      <c r="F267" s="70"/>
      <c r="G267" s="71"/>
      <c r="H267" s="196"/>
      <c r="I267" s="197"/>
      <c r="J267" s="79"/>
      <c r="K267" s="198"/>
      <c r="L267" s="198"/>
      <c r="M267" s="198"/>
      <c r="N267" s="196"/>
      <c r="O267" s="97"/>
    </row>
    <row r="268" spans="2:15" x14ac:dyDescent="0.2">
      <c r="B268" s="169"/>
      <c r="C268" s="170"/>
      <c r="D268" s="171"/>
      <c r="E268" s="171"/>
      <c r="F268" s="70"/>
      <c r="G268" s="71"/>
      <c r="H268" s="196"/>
      <c r="I268" s="197"/>
      <c r="J268" s="79"/>
      <c r="K268" s="198"/>
      <c r="L268" s="198"/>
      <c r="M268" s="198"/>
      <c r="N268" s="196"/>
      <c r="O268" s="97"/>
    </row>
    <row r="269" spans="2:15" x14ac:dyDescent="0.2">
      <c r="B269" s="169"/>
      <c r="C269" s="170"/>
      <c r="D269" s="171"/>
      <c r="E269" s="171"/>
      <c r="F269" s="70"/>
      <c r="G269" s="71"/>
      <c r="H269" s="196"/>
      <c r="I269" s="197"/>
      <c r="J269" s="79"/>
      <c r="K269" s="198"/>
      <c r="L269" s="198"/>
      <c r="M269" s="198"/>
      <c r="N269" s="196"/>
      <c r="O269" s="97"/>
    </row>
    <row r="270" spans="2:15" x14ac:dyDescent="0.2">
      <c r="B270" s="169"/>
      <c r="C270" s="170"/>
      <c r="D270" s="171"/>
      <c r="E270" s="171"/>
      <c r="F270" s="70"/>
      <c r="G270" s="71"/>
      <c r="H270" s="196"/>
      <c r="I270" s="197"/>
      <c r="J270" s="79"/>
      <c r="K270" s="198"/>
      <c r="L270" s="198"/>
      <c r="M270" s="198"/>
      <c r="N270" s="196"/>
      <c r="O270" s="97"/>
    </row>
    <row r="271" spans="2:15" x14ac:dyDescent="0.2">
      <c r="B271" s="169"/>
      <c r="C271" s="170"/>
      <c r="D271" s="171"/>
      <c r="E271" s="171"/>
      <c r="F271" s="70"/>
      <c r="G271" s="71"/>
      <c r="H271" s="196"/>
      <c r="I271" s="197"/>
      <c r="J271" s="79"/>
      <c r="K271" s="198"/>
      <c r="L271" s="198"/>
      <c r="M271" s="198"/>
      <c r="N271" s="196"/>
      <c r="O271" s="97"/>
    </row>
    <row r="272" spans="2:15" x14ac:dyDescent="0.2">
      <c r="B272" s="169"/>
      <c r="C272" s="170"/>
      <c r="D272" s="171"/>
      <c r="E272" s="171"/>
      <c r="F272" s="70"/>
      <c r="G272" s="71"/>
      <c r="H272" s="196"/>
      <c r="I272" s="197"/>
      <c r="J272" s="79"/>
      <c r="K272" s="198"/>
      <c r="L272" s="198"/>
      <c r="M272" s="198"/>
      <c r="N272" s="196"/>
      <c r="O272" s="97"/>
    </row>
    <row r="273" spans="2:15" x14ac:dyDescent="0.2">
      <c r="B273" s="169"/>
      <c r="C273" s="170"/>
      <c r="D273" s="171"/>
      <c r="E273" s="171"/>
      <c r="F273" s="70"/>
      <c r="G273" s="71"/>
      <c r="H273" s="196"/>
      <c r="I273" s="197"/>
      <c r="J273" s="79"/>
      <c r="K273" s="198"/>
      <c r="L273" s="198"/>
      <c r="M273" s="198"/>
      <c r="N273" s="196"/>
      <c r="O273" s="97"/>
    </row>
    <row r="274" spans="2:15" x14ac:dyDescent="0.2">
      <c r="B274" s="169"/>
      <c r="C274" s="170"/>
      <c r="D274" s="171"/>
      <c r="E274" s="171"/>
      <c r="F274" s="70"/>
      <c r="G274" s="71"/>
      <c r="H274" s="196"/>
      <c r="I274" s="197"/>
      <c r="J274" s="79"/>
      <c r="K274" s="198"/>
      <c r="L274" s="198"/>
      <c r="M274" s="198"/>
      <c r="N274" s="196"/>
      <c r="O274" s="97"/>
    </row>
    <row r="275" spans="2:15" x14ac:dyDescent="0.2">
      <c r="B275" s="169"/>
      <c r="C275" s="170"/>
      <c r="D275" s="171"/>
      <c r="E275" s="171"/>
      <c r="F275" s="70"/>
      <c r="G275" s="71"/>
      <c r="H275" s="196"/>
      <c r="I275" s="197"/>
      <c r="J275" s="79"/>
      <c r="K275" s="198"/>
      <c r="L275" s="198"/>
      <c r="M275" s="198"/>
      <c r="N275" s="196"/>
      <c r="O275" s="97"/>
    </row>
    <row r="276" spans="2:15" x14ac:dyDescent="0.2">
      <c r="B276" s="169"/>
      <c r="C276" s="170"/>
      <c r="D276" s="171"/>
      <c r="E276" s="171"/>
      <c r="F276" s="70"/>
      <c r="G276" s="71"/>
      <c r="H276" s="196"/>
      <c r="I276" s="197"/>
      <c r="J276" s="79"/>
      <c r="K276" s="198"/>
      <c r="L276" s="198"/>
      <c r="M276" s="198"/>
      <c r="N276" s="196"/>
      <c r="O276" s="97"/>
    </row>
    <row r="277" spans="2:15" x14ac:dyDescent="0.2">
      <c r="B277" s="169"/>
      <c r="C277" s="170"/>
      <c r="D277" s="171"/>
      <c r="E277" s="171"/>
      <c r="F277" s="70"/>
      <c r="G277" s="71"/>
      <c r="H277" s="196"/>
      <c r="I277" s="197"/>
      <c r="J277" s="79"/>
      <c r="K277" s="198"/>
      <c r="L277" s="198"/>
      <c r="M277" s="198"/>
      <c r="N277" s="196"/>
      <c r="O277" s="97"/>
    </row>
    <row r="278" spans="2:15" x14ac:dyDescent="0.2">
      <c r="B278" s="169"/>
      <c r="C278" s="170"/>
      <c r="D278" s="171"/>
      <c r="E278" s="171"/>
      <c r="F278" s="70"/>
      <c r="G278" s="71"/>
      <c r="H278" s="196"/>
      <c r="I278" s="197"/>
      <c r="J278" s="79"/>
      <c r="K278" s="198"/>
      <c r="L278" s="198"/>
      <c r="M278" s="198"/>
      <c r="N278" s="196"/>
      <c r="O278" s="97"/>
    </row>
    <row r="279" spans="2:15" x14ac:dyDescent="0.2">
      <c r="B279" s="169"/>
      <c r="C279" s="170"/>
      <c r="D279" s="171"/>
      <c r="E279" s="171"/>
      <c r="F279" s="70"/>
      <c r="G279" s="71"/>
      <c r="H279" s="196"/>
      <c r="I279" s="197"/>
      <c r="J279" s="79"/>
      <c r="K279" s="198"/>
      <c r="L279" s="198"/>
      <c r="M279" s="198"/>
      <c r="N279" s="196"/>
      <c r="O279" s="97"/>
    </row>
    <row r="280" spans="2:15" x14ac:dyDescent="0.2">
      <c r="B280" s="169"/>
      <c r="C280" s="170"/>
      <c r="D280" s="171"/>
      <c r="E280" s="171"/>
      <c r="F280" s="70"/>
      <c r="G280" s="71"/>
      <c r="H280" s="196"/>
      <c r="I280" s="197"/>
      <c r="J280" s="79"/>
      <c r="K280" s="198"/>
      <c r="L280" s="198"/>
      <c r="M280" s="198"/>
      <c r="N280" s="196"/>
      <c r="O280" s="97"/>
    </row>
    <row r="281" spans="2:15" x14ac:dyDescent="0.2">
      <c r="B281" s="169"/>
      <c r="C281" s="170"/>
      <c r="D281" s="171"/>
      <c r="E281" s="171"/>
      <c r="F281" s="70"/>
      <c r="G281" s="71"/>
      <c r="H281" s="196"/>
      <c r="I281" s="197"/>
      <c r="J281" s="79"/>
      <c r="K281" s="198"/>
      <c r="L281" s="198"/>
      <c r="M281" s="198"/>
      <c r="N281" s="196"/>
      <c r="O281" s="97"/>
    </row>
    <row r="282" spans="2:15" x14ac:dyDescent="0.2">
      <c r="B282" s="169"/>
      <c r="C282" s="170"/>
      <c r="D282" s="171"/>
      <c r="E282" s="171"/>
      <c r="F282" s="70"/>
      <c r="G282" s="71"/>
      <c r="H282" s="196"/>
      <c r="I282" s="197"/>
      <c r="J282" s="79"/>
      <c r="K282" s="198"/>
      <c r="L282" s="198"/>
      <c r="M282" s="198"/>
      <c r="N282" s="196"/>
      <c r="O282" s="97"/>
    </row>
    <row r="283" spans="2:15" x14ac:dyDescent="0.2">
      <c r="B283" s="169"/>
      <c r="C283" s="170"/>
      <c r="D283" s="171"/>
      <c r="E283" s="171"/>
      <c r="F283" s="70"/>
      <c r="G283" s="71"/>
      <c r="H283" s="196"/>
      <c r="I283" s="197"/>
      <c r="J283" s="79"/>
      <c r="K283" s="198"/>
      <c r="L283" s="198"/>
      <c r="M283" s="198"/>
      <c r="N283" s="196"/>
      <c r="O283" s="97"/>
    </row>
    <row r="284" spans="2:15" x14ac:dyDescent="0.2">
      <c r="B284" s="169"/>
      <c r="C284" s="170"/>
      <c r="D284" s="171"/>
      <c r="E284" s="171"/>
      <c r="F284" s="70"/>
      <c r="G284" s="71"/>
      <c r="H284" s="196"/>
      <c r="I284" s="197"/>
      <c r="J284" s="79"/>
      <c r="K284" s="198"/>
      <c r="L284" s="198"/>
      <c r="M284" s="198"/>
      <c r="N284" s="196"/>
      <c r="O284" s="97"/>
    </row>
    <row r="285" spans="2:15" x14ac:dyDescent="0.2">
      <c r="B285" s="169"/>
      <c r="C285" s="170"/>
      <c r="D285" s="171"/>
      <c r="E285" s="171"/>
      <c r="F285" s="70"/>
      <c r="G285" s="71"/>
      <c r="H285" s="196"/>
      <c r="I285" s="197"/>
      <c r="J285" s="79"/>
      <c r="K285" s="198"/>
      <c r="L285" s="198"/>
      <c r="M285" s="198"/>
      <c r="N285" s="196"/>
      <c r="O285" s="97"/>
    </row>
    <row r="286" spans="2:15" x14ac:dyDescent="0.2">
      <c r="B286" s="169"/>
      <c r="C286" s="170"/>
      <c r="D286" s="171"/>
      <c r="E286" s="171"/>
      <c r="F286" s="70"/>
      <c r="G286" s="71"/>
      <c r="H286" s="196"/>
      <c r="I286" s="197"/>
      <c r="J286" s="79"/>
      <c r="K286" s="198"/>
      <c r="L286" s="198"/>
      <c r="M286" s="198"/>
      <c r="N286" s="196"/>
      <c r="O286" s="97"/>
    </row>
    <row r="287" spans="2:15" x14ac:dyDescent="0.2">
      <c r="B287" s="169"/>
      <c r="C287" s="170"/>
      <c r="D287" s="171"/>
      <c r="E287" s="171"/>
      <c r="F287" s="70"/>
      <c r="G287" s="71"/>
      <c r="H287" s="196"/>
      <c r="I287" s="197"/>
      <c r="J287" s="79"/>
      <c r="K287" s="198"/>
      <c r="L287" s="198"/>
      <c r="M287" s="198"/>
      <c r="N287" s="196"/>
      <c r="O287" s="97"/>
    </row>
    <row r="288" spans="2:15" x14ac:dyDescent="0.2">
      <c r="B288" s="169"/>
      <c r="C288" s="170"/>
      <c r="D288" s="171"/>
      <c r="E288" s="171"/>
      <c r="F288" s="70"/>
      <c r="G288" s="71"/>
      <c r="H288" s="196"/>
      <c r="I288" s="197"/>
      <c r="J288" s="79"/>
      <c r="K288" s="198"/>
      <c r="L288" s="198"/>
      <c r="M288" s="198"/>
      <c r="N288" s="196"/>
      <c r="O288" s="97"/>
    </row>
    <row r="289" spans="2:15" x14ac:dyDescent="0.2">
      <c r="B289" s="169"/>
      <c r="C289" s="170"/>
      <c r="D289" s="171"/>
      <c r="E289" s="171"/>
      <c r="F289" s="70"/>
      <c r="G289" s="71"/>
      <c r="H289" s="196"/>
      <c r="I289" s="197"/>
      <c r="J289" s="79"/>
      <c r="K289" s="198"/>
      <c r="L289" s="198"/>
      <c r="M289" s="198"/>
      <c r="N289" s="196"/>
      <c r="O289" s="97"/>
    </row>
    <row r="290" spans="2:15" x14ac:dyDescent="0.2">
      <c r="B290" s="169"/>
      <c r="C290" s="170"/>
      <c r="D290" s="171"/>
      <c r="E290" s="171"/>
      <c r="F290" s="70"/>
      <c r="G290" s="71"/>
      <c r="H290" s="196"/>
      <c r="I290" s="197"/>
      <c r="J290" s="79"/>
      <c r="K290" s="198"/>
      <c r="L290" s="198"/>
      <c r="M290" s="198"/>
      <c r="N290" s="196"/>
      <c r="O290" s="97"/>
    </row>
    <row r="291" spans="2:15" x14ac:dyDescent="0.2">
      <c r="B291" s="169"/>
      <c r="C291" s="170"/>
      <c r="D291" s="171"/>
      <c r="E291" s="171"/>
      <c r="F291" s="70"/>
      <c r="G291" s="71"/>
      <c r="H291" s="196"/>
      <c r="I291" s="197"/>
      <c r="J291" s="79"/>
      <c r="K291" s="198"/>
      <c r="L291" s="198"/>
      <c r="M291" s="198"/>
      <c r="N291" s="196"/>
      <c r="O291" s="97"/>
    </row>
    <row r="292" spans="2:15" x14ac:dyDescent="0.2">
      <c r="B292" s="169"/>
      <c r="C292" s="170"/>
      <c r="D292" s="171"/>
      <c r="E292" s="171"/>
      <c r="F292" s="70"/>
      <c r="G292" s="71"/>
      <c r="H292" s="196"/>
      <c r="I292" s="197"/>
      <c r="J292" s="79"/>
      <c r="K292" s="198"/>
      <c r="L292" s="198"/>
      <c r="M292" s="198"/>
      <c r="N292" s="196"/>
      <c r="O292" s="97"/>
    </row>
    <row r="293" spans="2:15" x14ac:dyDescent="0.2">
      <c r="B293" s="169"/>
      <c r="C293" s="170"/>
      <c r="D293" s="171"/>
      <c r="E293" s="171"/>
      <c r="F293" s="70"/>
      <c r="G293" s="71"/>
      <c r="H293" s="196"/>
      <c r="I293" s="197"/>
      <c r="J293" s="79"/>
      <c r="K293" s="198"/>
      <c r="L293" s="198"/>
      <c r="M293" s="198"/>
      <c r="N293" s="196"/>
      <c r="O293" s="97"/>
    </row>
    <row r="294" spans="2:15" x14ac:dyDescent="0.2">
      <c r="B294" s="169"/>
      <c r="C294" s="170"/>
      <c r="D294" s="171"/>
      <c r="E294" s="171"/>
      <c r="F294" s="70"/>
      <c r="G294" s="71"/>
      <c r="H294" s="196"/>
      <c r="I294" s="197"/>
      <c r="J294" s="79"/>
      <c r="K294" s="198"/>
      <c r="L294" s="198"/>
      <c r="M294" s="198"/>
      <c r="N294" s="196"/>
      <c r="O294" s="97"/>
    </row>
    <row r="295" spans="2:15" x14ac:dyDescent="0.2">
      <c r="B295" s="169"/>
      <c r="C295" s="170"/>
      <c r="D295" s="171"/>
      <c r="E295" s="171"/>
      <c r="F295" s="70"/>
      <c r="G295" s="71"/>
      <c r="H295" s="196"/>
      <c r="I295" s="197"/>
      <c r="J295" s="79"/>
      <c r="K295" s="198"/>
      <c r="L295" s="198"/>
      <c r="M295" s="198"/>
      <c r="N295" s="196"/>
      <c r="O295" s="97"/>
    </row>
    <row r="296" spans="2:15" x14ac:dyDescent="0.2">
      <c r="B296" s="169"/>
      <c r="C296" s="170"/>
      <c r="D296" s="171"/>
      <c r="E296" s="171"/>
      <c r="F296" s="70"/>
      <c r="G296" s="71"/>
      <c r="H296" s="196"/>
      <c r="I296" s="197"/>
      <c r="J296" s="79"/>
      <c r="K296" s="198"/>
      <c r="L296" s="198"/>
      <c r="M296" s="198"/>
      <c r="N296" s="196"/>
      <c r="O296" s="97"/>
    </row>
    <row r="297" spans="2:15" x14ac:dyDescent="0.2">
      <c r="B297" s="169"/>
      <c r="C297" s="170"/>
      <c r="D297" s="171"/>
      <c r="E297" s="171"/>
      <c r="F297" s="70"/>
      <c r="G297" s="71"/>
      <c r="H297" s="196"/>
      <c r="I297" s="197"/>
      <c r="J297" s="79"/>
      <c r="K297" s="198"/>
      <c r="L297" s="198"/>
      <c r="M297" s="198"/>
      <c r="N297" s="196"/>
      <c r="O297" s="97"/>
    </row>
    <row r="298" spans="2:15" x14ac:dyDescent="0.2">
      <c r="B298" s="169"/>
      <c r="C298" s="170"/>
      <c r="D298" s="171"/>
      <c r="E298" s="171"/>
      <c r="F298" s="70"/>
      <c r="G298" s="71"/>
      <c r="H298" s="196"/>
      <c r="I298" s="197"/>
      <c r="J298" s="79"/>
      <c r="K298" s="198"/>
      <c r="L298" s="198"/>
      <c r="M298" s="198"/>
      <c r="N298" s="196"/>
      <c r="O298" s="97"/>
    </row>
    <row r="299" spans="2:15" x14ac:dyDescent="0.2">
      <c r="B299" s="169"/>
      <c r="C299" s="170"/>
      <c r="D299" s="171"/>
      <c r="E299" s="171"/>
      <c r="F299" s="70"/>
      <c r="G299" s="71"/>
      <c r="H299" s="196"/>
      <c r="I299" s="197"/>
      <c r="J299" s="79"/>
      <c r="K299" s="198"/>
      <c r="L299" s="198"/>
      <c r="M299" s="198"/>
      <c r="N299" s="196"/>
      <c r="O299" s="97"/>
    </row>
    <row r="300" spans="2:15" x14ac:dyDescent="0.2">
      <c r="B300" s="169"/>
      <c r="C300" s="170"/>
      <c r="D300" s="171"/>
      <c r="E300" s="171"/>
      <c r="F300" s="70"/>
      <c r="G300" s="71"/>
      <c r="H300" s="196"/>
      <c r="I300" s="197"/>
      <c r="J300" s="79"/>
      <c r="K300" s="198"/>
      <c r="L300" s="198"/>
      <c r="M300" s="198"/>
      <c r="N300" s="196"/>
      <c r="O300" s="97"/>
    </row>
    <row r="301" spans="2:15" x14ac:dyDescent="0.2">
      <c r="B301" s="169"/>
      <c r="C301" s="170"/>
      <c r="D301" s="171"/>
      <c r="E301" s="171"/>
      <c r="F301" s="70"/>
      <c r="G301" s="71"/>
      <c r="H301" s="196"/>
      <c r="I301" s="197"/>
      <c r="J301" s="79"/>
      <c r="K301" s="198"/>
      <c r="L301" s="198"/>
      <c r="M301" s="198"/>
      <c r="N301" s="196"/>
      <c r="O301" s="97"/>
    </row>
    <row r="302" spans="2:15" x14ac:dyDescent="0.2">
      <c r="B302" s="169"/>
      <c r="C302" s="170"/>
      <c r="D302" s="171"/>
      <c r="E302" s="171"/>
      <c r="F302" s="70"/>
      <c r="G302" s="71"/>
      <c r="H302" s="196"/>
      <c r="I302" s="197"/>
      <c r="J302" s="79"/>
      <c r="K302" s="198"/>
      <c r="L302" s="198"/>
      <c r="M302" s="198"/>
      <c r="N302" s="196"/>
      <c r="O302" s="97"/>
    </row>
    <row r="303" spans="2:15" x14ac:dyDescent="0.2">
      <c r="B303" s="169"/>
      <c r="C303" s="170"/>
      <c r="D303" s="171"/>
      <c r="E303" s="171"/>
      <c r="F303" s="70"/>
      <c r="G303" s="71"/>
      <c r="H303" s="196"/>
      <c r="I303" s="197"/>
      <c r="J303" s="79"/>
      <c r="K303" s="198"/>
      <c r="L303" s="198"/>
      <c r="M303" s="198"/>
      <c r="N303" s="196"/>
      <c r="O303" s="97"/>
    </row>
    <row r="304" spans="2:15" x14ac:dyDescent="0.2">
      <c r="B304" s="169"/>
      <c r="C304" s="170"/>
      <c r="D304" s="171"/>
      <c r="E304" s="171"/>
      <c r="F304" s="70"/>
      <c r="G304" s="71"/>
      <c r="H304" s="196"/>
      <c r="I304" s="197"/>
      <c r="J304" s="79"/>
      <c r="K304" s="198"/>
      <c r="L304" s="198"/>
      <c r="M304" s="198"/>
      <c r="N304" s="196"/>
      <c r="O304" s="97"/>
    </row>
    <row r="305" spans="2:15" x14ac:dyDescent="0.2">
      <c r="B305" s="169"/>
      <c r="C305" s="170"/>
      <c r="D305" s="171"/>
      <c r="E305" s="171"/>
      <c r="F305" s="70"/>
      <c r="G305" s="71"/>
      <c r="H305" s="196"/>
      <c r="I305" s="197"/>
      <c r="J305" s="79"/>
      <c r="K305" s="198"/>
      <c r="L305" s="198"/>
      <c r="M305" s="198"/>
      <c r="N305" s="196"/>
      <c r="O305" s="97"/>
    </row>
    <row r="306" spans="2:15" x14ac:dyDescent="0.2">
      <c r="B306" s="169"/>
      <c r="C306" s="170"/>
      <c r="D306" s="171"/>
      <c r="E306" s="171"/>
      <c r="F306" s="70"/>
      <c r="G306" s="71"/>
      <c r="H306" s="196"/>
      <c r="I306" s="197"/>
      <c r="J306" s="79"/>
      <c r="K306" s="198"/>
      <c r="L306" s="198"/>
      <c r="M306" s="198"/>
      <c r="N306" s="196"/>
      <c r="O306" s="97"/>
    </row>
    <row r="307" spans="2:15" x14ac:dyDescent="0.2">
      <c r="B307" s="169"/>
      <c r="C307" s="170"/>
      <c r="D307" s="171"/>
      <c r="E307" s="171"/>
      <c r="F307" s="70"/>
      <c r="G307" s="71"/>
      <c r="H307" s="196"/>
      <c r="I307" s="197"/>
      <c r="J307" s="79"/>
      <c r="K307" s="198"/>
      <c r="L307" s="198"/>
      <c r="M307" s="198"/>
      <c r="N307" s="196"/>
      <c r="O307" s="97"/>
    </row>
    <row r="308" spans="2:15" x14ac:dyDescent="0.2">
      <c r="B308" s="169"/>
      <c r="C308" s="170"/>
      <c r="D308" s="171"/>
      <c r="E308" s="171"/>
      <c r="F308" s="70"/>
      <c r="G308" s="71"/>
      <c r="H308" s="196"/>
      <c r="I308" s="197"/>
      <c r="J308" s="79"/>
      <c r="K308" s="198"/>
      <c r="L308" s="198"/>
      <c r="M308" s="198"/>
      <c r="N308" s="80"/>
      <c r="O308" s="81"/>
    </row>
    <row r="309" spans="2:15" x14ac:dyDescent="0.2">
      <c r="B309" s="169"/>
      <c r="C309" s="170"/>
      <c r="D309" s="171"/>
      <c r="E309" s="171"/>
      <c r="F309" s="70"/>
      <c r="G309" s="71"/>
      <c r="H309" s="196"/>
      <c r="I309" s="197"/>
      <c r="J309" s="79"/>
      <c r="K309" s="198"/>
      <c r="L309" s="198"/>
      <c r="M309" s="198"/>
      <c r="N309" s="196"/>
      <c r="O309" s="9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workbookViewId="0">
      <selection activeCell="B1" sqref="B1"/>
    </sheetView>
  </sheetViews>
  <sheetFormatPr baseColWidth="10" defaultRowHeight="15" x14ac:dyDescent="0.25"/>
  <cols>
    <col min="1" max="1" width="5.5703125" style="199" customWidth="1"/>
    <col min="2" max="2" width="11.5703125" style="199" bestFit="1" customWidth="1"/>
    <col min="3" max="3" width="11.85546875" style="199" bestFit="1" customWidth="1"/>
    <col min="4" max="4" width="10.42578125" style="199" customWidth="1"/>
    <col min="5" max="5" width="21.85546875" style="199" customWidth="1"/>
    <col min="6" max="6" width="12" style="199" customWidth="1"/>
    <col min="7" max="7" width="22" style="199" customWidth="1"/>
    <col min="8" max="8" width="23.28515625" style="199" customWidth="1"/>
    <col min="9" max="9" width="17.140625" style="199" customWidth="1"/>
    <col min="10" max="16384" width="11.42578125" style="199"/>
  </cols>
  <sheetData>
    <row r="2" spans="2:10" x14ac:dyDescent="0.25">
      <c r="B2" s="5" t="s">
        <v>70</v>
      </c>
    </row>
    <row r="4" spans="2:10" ht="15.75" x14ac:dyDescent="0.25">
      <c r="B4" s="202" t="s">
        <v>115</v>
      </c>
    </row>
    <row r="5" spans="2:10" ht="15.75" x14ac:dyDescent="0.25">
      <c r="B5" s="202" t="s">
        <v>101</v>
      </c>
      <c r="E5" s="202" t="s">
        <v>126</v>
      </c>
    </row>
    <row r="6" spans="2:10" ht="33.75" customHeight="1" x14ac:dyDescent="0.25">
      <c r="B6" s="212"/>
      <c r="E6" s="305" t="s">
        <v>127</v>
      </c>
      <c r="F6" s="305"/>
      <c r="G6" s="305"/>
      <c r="H6" s="305"/>
      <c r="I6" s="305"/>
      <c r="J6" s="214"/>
    </row>
    <row r="7" spans="2:10" ht="15.75" x14ac:dyDescent="0.25">
      <c r="B7" s="202" t="s">
        <v>128</v>
      </c>
      <c r="E7" s="202" t="s">
        <v>129</v>
      </c>
    </row>
    <row r="8" spans="2:10" ht="15.75" x14ac:dyDescent="0.25">
      <c r="B8" s="202" t="s">
        <v>130</v>
      </c>
      <c r="E8" s="215">
        <v>0.04</v>
      </c>
    </row>
    <row r="9" spans="2:10" ht="15.75" x14ac:dyDescent="0.25">
      <c r="B9" s="202" t="s">
        <v>131</v>
      </c>
      <c r="E9" s="215">
        <v>4.2500000000000003E-2</v>
      </c>
    </row>
    <row r="10" spans="2:10" ht="15.75" x14ac:dyDescent="0.25">
      <c r="B10" s="202" t="s">
        <v>103</v>
      </c>
      <c r="E10" s="202" t="s">
        <v>129</v>
      </c>
    </row>
    <row r="11" spans="2:10" ht="15.75" x14ac:dyDescent="0.25">
      <c r="B11" s="202" t="s">
        <v>105</v>
      </c>
      <c r="E11" s="202" t="s">
        <v>132</v>
      </c>
    </row>
    <row r="12" spans="2:10" ht="15.75" x14ac:dyDescent="0.25">
      <c r="B12" s="202" t="s">
        <v>119</v>
      </c>
      <c r="E12" s="202" t="s">
        <v>133</v>
      </c>
    </row>
    <row r="13" spans="2:10" ht="15.75" x14ac:dyDescent="0.25">
      <c r="B13" s="202" t="s">
        <v>134</v>
      </c>
      <c r="E13" s="202" t="s">
        <v>135</v>
      </c>
    </row>
    <row r="14" spans="2:10" ht="15.75" x14ac:dyDescent="0.25">
      <c r="B14" s="202" t="s">
        <v>136</v>
      </c>
      <c r="E14" s="202" t="s">
        <v>137</v>
      </c>
    </row>
    <row r="15" spans="2:10" ht="15.75" x14ac:dyDescent="0.25">
      <c r="B15" s="216" t="s">
        <v>138</v>
      </c>
      <c r="E15" s="216" t="s">
        <v>139</v>
      </c>
    </row>
    <row r="16" spans="2:10" ht="15.75" x14ac:dyDescent="0.25">
      <c r="B16" s="202" t="s">
        <v>107</v>
      </c>
      <c r="E16" s="202" t="s">
        <v>140</v>
      </c>
    </row>
    <row r="17" spans="2:9" ht="15.75" x14ac:dyDescent="0.25">
      <c r="B17" s="202" t="s">
        <v>109</v>
      </c>
      <c r="E17" s="202" t="s">
        <v>88</v>
      </c>
    </row>
    <row r="18" spans="2:9" ht="15.75" x14ac:dyDescent="0.25">
      <c r="B18" s="202" t="s">
        <v>110</v>
      </c>
      <c r="E18" s="202" t="s">
        <v>141</v>
      </c>
    </row>
    <row r="19" spans="2:9" ht="15.75" x14ac:dyDescent="0.25">
      <c r="B19" s="202" t="s">
        <v>112</v>
      </c>
      <c r="E19" s="202" t="s">
        <v>113</v>
      </c>
    </row>
    <row r="21" spans="2:9" ht="15.75" thickBot="1" x14ac:dyDescent="0.3"/>
    <row r="22" spans="2:9" ht="33" thickTop="1" thickBot="1" x14ac:dyDescent="0.3">
      <c r="B22" s="217" t="s">
        <v>8</v>
      </c>
      <c r="C22" s="218" t="s">
        <v>55</v>
      </c>
      <c r="D22" s="218" t="s">
        <v>47</v>
      </c>
      <c r="E22" s="218" t="s">
        <v>1</v>
      </c>
      <c r="F22" s="218" t="s">
        <v>6</v>
      </c>
      <c r="G22" s="218" t="s">
        <v>2</v>
      </c>
      <c r="H22" s="219" t="s">
        <v>9</v>
      </c>
    </row>
    <row r="23" spans="2:9" ht="16.5" hidden="1" thickBot="1" x14ac:dyDescent="0.3">
      <c r="B23" s="220"/>
      <c r="C23" s="221">
        <v>43064</v>
      </c>
      <c r="D23" s="222"/>
      <c r="E23" s="222">
        <v>0</v>
      </c>
      <c r="F23" s="223"/>
      <c r="G23" s="224">
        <v>-0.99680000000000002</v>
      </c>
      <c r="H23" s="224"/>
    </row>
    <row r="24" spans="2:9" ht="16.5" thickBot="1" x14ac:dyDescent="0.3">
      <c r="B24" s="225">
        <v>1</v>
      </c>
      <c r="C24" s="221">
        <v>43094</v>
      </c>
      <c r="D24" s="226">
        <f>C24-C23</f>
        <v>30</v>
      </c>
      <c r="E24" s="226">
        <f>C24-$C$23</f>
        <v>30</v>
      </c>
      <c r="F24" s="227">
        <v>0.05</v>
      </c>
      <c r="G24" s="228">
        <f>ROUND(D24*$G$52,17)</f>
        <v>4.1095890410957998E-3</v>
      </c>
      <c r="H24" s="229">
        <f>ROUND((G24/((1+$E$51)^(E24/365))),17)</f>
        <v>4.0914768527742203E-3</v>
      </c>
      <c r="I24" s="213"/>
    </row>
    <row r="25" spans="2:9" ht="16.5" thickBot="1" x14ac:dyDescent="0.3">
      <c r="B25" s="225">
        <v>2</v>
      </c>
      <c r="C25" s="221">
        <v>43125</v>
      </c>
      <c r="D25" s="226">
        <f t="shared" ref="D25:D47" si="0">C25-C24</f>
        <v>31</v>
      </c>
      <c r="E25" s="226">
        <f t="shared" ref="E25:E47" si="1">C25-$C$23</f>
        <v>61</v>
      </c>
      <c r="F25" s="227">
        <v>0.05</v>
      </c>
      <c r="G25" s="228">
        <f t="shared" ref="G25" si="2">ROUND(D25*$G$52,17)</f>
        <v>4.2465753424656598E-3</v>
      </c>
      <c r="H25" s="229">
        <f t="shared" ref="H25:H47" si="3">ROUND((G25/((1+$E$51)^(E25/365))),17)</f>
        <v>4.2086062749425602E-3</v>
      </c>
      <c r="I25" s="213"/>
    </row>
    <row r="26" spans="2:9" ht="16.5" thickBot="1" x14ac:dyDescent="0.3">
      <c r="B26" s="225">
        <v>3</v>
      </c>
      <c r="C26" s="221">
        <v>43156</v>
      </c>
      <c r="D26" s="226">
        <f t="shared" si="0"/>
        <v>31</v>
      </c>
      <c r="E26" s="226">
        <f t="shared" si="1"/>
        <v>92</v>
      </c>
      <c r="F26" s="227">
        <v>0.05</v>
      </c>
      <c r="G26" s="228">
        <f>ROUND(D26*$G$52,17)</f>
        <v>4.2465753424656598E-3</v>
      </c>
      <c r="H26" s="229">
        <f t="shared" si="3"/>
        <v>4.1894408117259703E-3</v>
      </c>
      <c r="I26" s="213"/>
    </row>
    <row r="27" spans="2:9" ht="16.5" thickBot="1" x14ac:dyDescent="0.3">
      <c r="B27" s="225">
        <v>4</v>
      </c>
      <c r="C27" s="221">
        <v>43184</v>
      </c>
      <c r="D27" s="226">
        <f t="shared" si="0"/>
        <v>28</v>
      </c>
      <c r="E27" s="226">
        <f t="shared" si="1"/>
        <v>120</v>
      </c>
      <c r="F27" s="227">
        <v>5.2499999999999998E-2</v>
      </c>
      <c r="G27" s="228">
        <f>ROUND(D27*$G$53,17)</f>
        <v>4.0273972602740803E-3</v>
      </c>
      <c r="H27" s="229">
        <f t="shared" si="3"/>
        <v>3.9568654803472103E-3</v>
      </c>
      <c r="I27" s="213"/>
    </row>
    <row r="28" spans="2:9" ht="16.5" thickBot="1" x14ac:dyDescent="0.3">
      <c r="B28" s="225">
        <v>5</v>
      </c>
      <c r="C28" s="221">
        <v>43215</v>
      </c>
      <c r="D28" s="226">
        <f t="shared" si="0"/>
        <v>31</v>
      </c>
      <c r="E28" s="226">
        <f t="shared" si="1"/>
        <v>151</v>
      </c>
      <c r="F28" s="227">
        <v>5.2499999999999998E-2</v>
      </c>
      <c r="G28" s="228">
        <f>ROUND(D28*$G$53,17)</f>
        <v>4.4589041095891603E-3</v>
      </c>
      <c r="H28" s="229">
        <f t="shared" si="3"/>
        <v>4.3608656715592598E-3</v>
      </c>
      <c r="I28" s="213"/>
    </row>
    <row r="29" spans="2:9" ht="16.5" thickBot="1" x14ac:dyDescent="0.3">
      <c r="B29" s="225">
        <v>6</v>
      </c>
      <c r="C29" s="221">
        <v>43245</v>
      </c>
      <c r="D29" s="226">
        <f t="shared" si="0"/>
        <v>30</v>
      </c>
      <c r="E29" s="226">
        <f t="shared" si="1"/>
        <v>181</v>
      </c>
      <c r="F29" s="227">
        <v>5.2499999999999998E-2</v>
      </c>
      <c r="G29" s="228">
        <f t="shared" ref="G29:G46" si="4">ROUND(D29*$G$53,17)</f>
        <v>4.3150684931507997E-3</v>
      </c>
      <c r="H29" s="229">
        <f t="shared" si="3"/>
        <v>4.20159293415072E-3</v>
      </c>
      <c r="I29" s="213"/>
    </row>
    <row r="30" spans="2:9" ht="16.5" thickBot="1" x14ac:dyDescent="0.3">
      <c r="B30" s="225">
        <v>7</v>
      </c>
      <c r="C30" s="221">
        <v>43276</v>
      </c>
      <c r="D30" s="226">
        <f t="shared" si="0"/>
        <v>31</v>
      </c>
      <c r="E30" s="226">
        <f t="shared" si="1"/>
        <v>212</v>
      </c>
      <c r="F30" s="227">
        <v>5.2499999999999998E-2</v>
      </c>
      <c r="G30" s="228">
        <f t="shared" si="4"/>
        <v>4.4589041095891603E-3</v>
      </c>
      <c r="H30" s="229">
        <f t="shared" si="3"/>
        <v>4.3218747224321296E-3</v>
      </c>
      <c r="I30" s="213"/>
    </row>
    <row r="31" spans="2:9" ht="16.5" thickBot="1" x14ac:dyDescent="0.3">
      <c r="B31" s="225">
        <v>8</v>
      </c>
      <c r="C31" s="221">
        <v>43306</v>
      </c>
      <c r="D31" s="226">
        <f t="shared" si="0"/>
        <v>30</v>
      </c>
      <c r="E31" s="226">
        <f t="shared" si="1"/>
        <v>242</v>
      </c>
      <c r="F31" s="227">
        <v>5.2499999999999998E-2</v>
      </c>
      <c r="G31" s="228">
        <f t="shared" si="4"/>
        <v>4.3150684931507997E-3</v>
      </c>
      <c r="H31" s="229">
        <f t="shared" si="3"/>
        <v>4.1640260589734402E-3</v>
      </c>
      <c r="I31" s="213"/>
    </row>
    <row r="32" spans="2:9" ht="16.5" thickBot="1" x14ac:dyDescent="0.3">
      <c r="B32" s="225">
        <v>9</v>
      </c>
      <c r="C32" s="221">
        <v>43337</v>
      </c>
      <c r="D32" s="226">
        <f t="shared" si="0"/>
        <v>31</v>
      </c>
      <c r="E32" s="226">
        <f t="shared" si="1"/>
        <v>273</v>
      </c>
      <c r="F32" s="227">
        <v>5.2499999999999998E-2</v>
      </c>
      <c r="G32" s="228">
        <f t="shared" si="4"/>
        <v>4.4589041095891603E-3</v>
      </c>
      <c r="H32" s="229">
        <f t="shared" si="3"/>
        <v>4.2832323953971201E-3</v>
      </c>
      <c r="I32" s="213"/>
    </row>
    <row r="33" spans="2:9" ht="16.5" thickBot="1" x14ac:dyDescent="0.3">
      <c r="B33" s="225">
        <v>10</v>
      </c>
      <c r="C33" s="221">
        <v>43368</v>
      </c>
      <c r="D33" s="226">
        <f t="shared" si="0"/>
        <v>31</v>
      </c>
      <c r="E33" s="226">
        <f t="shared" si="1"/>
        <v>304</v>
      </c>
      <c r="F33" s="227">
        <v>5.2499999999999998E-2</v>
      </c>
      <c r="G33" s="228">
        <f t="shared" si="4"/>
        <v>4.4589041095891603E-3</v>
      </c>
      <c r="H33" s="229">
        <f t="shared" si="3"/>
        <v>4.2637270942215604E-3</v>
      </c>
      <c r="I33" s="213"/>
    </row>
    <row r="34" spans="2:9" ht="16.5" thickBot="1" x14ac:dyDescent="0.3">
      <c r="B34" s="225">
        <v>11</v>
      </c>
      <c r="C34" s="221">
        <v>43398</v>
      </c>
      <c r="D34" s="226">
        <f t="shared" si="0"/>
        <v>30</v>
      </c>
      <c r="E34" s="226">
        <f t="shared" si="1"/>
        <v>334</v>
      </c>
      <c r="F34" s="227">
        <v>5.2499999999999998E-2</v>
      </c>
      <c r="G34" s="228">
        <f t="shared" si="4"/>
        <v>4.3150684931507997E-3</v>
      </c>
      <c r="H34" s="229">
        <f t="shared" si="3"/>
        <v>4.10800216779501E-3</v>
      </c>
      <c r="I34" s="213"/>
    </row>
    <row r="35" spans="2:9" ht="16.5" thickBot="1" x14ac:dyDescent="0.3">
      <c r="B35" s="225">
        <v>12</v>
      </c>
      <c r="C35" s="221">
        <v>43429</v>
      </c>
      <c r="D35" s="226">
        <f t="shared" si="0"/>
        <v>31</v>
      </c>
      <c r="E35" s="226">
        <f t="shared" si="1"/>
        <v>365</v>
      </c>
      <c r="F35" s="227">
        <v>5.2499999999999998E-2</v>
      </c>
      <c r="G35" s="228">
        <f t="shared" si="4"/>
        <v>4.4589041095891603E-3</v>
      </c>
      <c r="H35" s="229">
        <f t="shared" si="3"/>
        <v>4.22560467111943E-3</v>
      </c>
      <c r="I35" s="213"/>
    </row>
    <row r="36" spans="2:9" ht="16.5" thickBot="1" x14ac:dyDescent="0.3">
      <c r="B36" s="225">
        <v>13</v>
      </c>
      <c r="C36" s="221">
        <v>43459</v>
      </c>
      <c r="D36" s="226">
        <f t="shared" si="0"/>
        <v>30</v>
      </c>
      <c r="E36" s="226">
        <f t="shared" si="1"/>
        <v>395</v>
      </c>
      <c r="F36" s="227">
        <v>5.2499999999999998E-2</v>
      </c>
      <c r="G36" s="228">
        <f t="shared" si="4"/>
        <v>4.3150684931507997E-3</v>
      </c>
      <c r="H36" s="229">
        <f t="shared" si="3"/>
        <v>4.0712720972993204E-3</v>
      </c>
      <c r="I36" s="213"/>
    </row>
    <row r="37" spans="2:9" ht="16.5" thickBot="1" x14ac:dyDescent="0.3">
      <c r="B37" s="225">
        <v>14</v>
      </c>
      <c r="C37" s="221">
        <v>43490</v>
      </c>
      <c r="D37" s="226">
        <f t="shared" si="0"/>
        <v>31</v>
      </c>
      <c r="E37" s="226">
        <f t="shared" si="1"/>
        <v>426</v>
      </c>
      <c r="F37" s="227">
        <v>5.2499999999999998E-2</v>
      </c>
      <c r="G37" s="228">
        <f t="shared" si="4"/>
        <v>4.4589041095891603E-3</v>
      </c>
      <c r="H37" s="229">
        <f t="shared" si="3"/>
        <v>4.1878231045287704E-3</v>
      </c>
      <c r="I37" s="213"/>
    </row>
    <row r="38" spans="2:9" ht="16.5" thickBot="1" x14ac:dyDescent="0.3">
      <c r="B38" s="225">
        <v>15</v>
      </c>
      <c r="C38" s="221">
        <v>43521</v>
      </c>
      <c r="D38" s="226">
        <f t="shared" si="0"/>
        <v>31</v>
      </c>
      <c r="E38" s="226">
        <f t="shared" si="1"/>
        <v>457</v>
      </c>
      <c r="F38" s="227">
        <v>5.2499999999999998E-2</v>
      </c>
      <c r="G38" s="228">
        <f t="shared" si="4"/>
        <v>4.4589041095891603E-3</v>
      </c>
      <c r="H38" s="229">
        <f t="shared" si="3"/>
        <v>4.1687522852541497E-3</v>
      </c>
      <c r="I38" s="213"/>
    </row>
    <row r="39" spans="2:9" ht="16.5" thickBot="1" x14ac:dyDescent="0.3">
      <c r="B39" s="225">
        <v>16</v>
      </c>
      <c r="C39" s="221">
        <v>43549</v>
      </c>
      <c r="D39" s="226">
        <f t="shared" si="0"/>
        <v>28</v>
      </c>
      <c r="E39" s="226">
        <f t="shared" si="1"/>
        <v>485</v>
      </c>
      <c r="F39" s="227">
        <v>5.2499999999999998E-2</v>
      </c>
      <c r="G39" s="228">
        <f t="shared" si="4"/>
        <v>4.0273972602740803E-3</v>
      </c>
      <c r="H39" s="229">
        <f t="shared" si="3"/>
        <v>3.7498337810828101E-3</v>
      </c>
      <c r="I39" s="213"/>
    </row>
    <row r="40" spans="2:9" ht="16.5" thickBot="1" x14ac:dyDescent="0.3">
      <c r="B40" s="225">
        <v>17</v>
      </c>
      <c r="C40" s="221">
        <v>43580</v>
      </c>
      <c r="D40" s="226">
        <f t="shared" si="0"/>
        <v>31</v>
      </c>
      <c r="E40" s="226">
        <f t="shared" si="1"/>
        <v>516</v>
      </c>
      <c r="F40" s="227">
        <v>5.2499999999999998E-2</v>
      </c>
      <c r="G40" s="228">
        <f t="shared" si="4"/>
        <v>4.4589041095891603E-3</v>
      </c>
      <c r="H40" s="229">
        <f t="shared" si="3"/>
        <v>4.1326958147039098E-3</v>
      </c>
      <c r="I40" s="213"/>
    </row>
    <row r="41" spans="2:9" ht="16.5" thickBot="1" x14ac:dyDescent="0.3">
      <c r="B41" s="225">
        <v>18</v>
      </c>
      <c r="C41" s="221">
        <v>43610</v>
      </c>
      <c r="D41" s="226">
        <f t="shared" si="0"/>
        <v>30</v>
      </c>
      <c r="E41" s="226">
        <f t="shared" si="1"/>
        <v>546</v>
      </c>
      <c r="F41" s="227">
        <v>5.2499999999999998E-2</v>
      </c>
      <c r="G41" s="228">
        <f t="shared" si="4"/>
        <v>4.3150684931507997E-3</v>
      </c>
      <c r="H41" s="229">
        <f t="shared" si="3"/>
        <v>3.9817565689533397E-3</v>
      </c>
      <c r="I41" s="213"/>
    </row>
    <row r="42" spans="2:9" ht="16.5" thickBot="1" x14ac:dyDescent="0.3">
      <c r="B42" s="225">
        <v>19</v>
      </c>
      <c r="C42" s="221">
        <v>43641</v>
      </c>
      <c r="D42" s="226">
        <f t="shared" si="0"/>
        <v>31</v>
      </c>
      <c r="E42" s="226">
        <f t="shared" si="1"/>
        <v>577</v>
      </c>
      <c r="F42" s="227">
        <v>5.2499999999999998E-2</v>
      </c>
      <c r="G42" s="228">
        <f t="shared" si="4"/>
        <v>4.4589041095891603E-3</v>
      </c>
      <c r="H42" s="229">
        <f t="shared" si="3"/>
        <v>4.09574495576782E-3</v>
      </c>
      <c r="I42" s="213"/>
    </row>
    <row r="43" spans="2:9" ht="16.5" thickBot="1" x14ac:dyDescent="0.3">
      <c r="B43" s="225">
        <v>20</v>
      </c>
      <c r="C43" s="221">
        <v>43671</v>
      </c>
      <c r="D43" s="226">
        <f t="shared" si="0"/>
        <v>30</v>
      </c>
      <c r="E43" s="226">
        <f t="shared" si="1"/>
        <v>607</v>
      </c>
      <c r="F43" s="227">
        <v>5.2499999999999998E-2</v>
      </c>
      <c r="G43" s="228">
        <f t="shared" si="4"/>
        <v>4.3150684931507997E-3</v>
      </c>
      <c r="H43" s="229">
        <f t="shared" si="3"/>
        <v>3.9461552733598597E-3</v>
      </c>
      <c r="I43" s="213"/>
    </row>
    <row r="44" spans="2:9" ht="16.5" thickBot="1" x14ac:dyDescent="0.3">
      <c r="B44" s="225">
        <v>21</v>
      </c>
      <c r="C44" s="221">
        <v>43702</v>
      </c>
      <c r="D44" s="226">
        <f t="shared" si="0"/>
        <v>31</v>
      </c>
      <c r="E44" s="226">
        <f t="shared" si="1"/>
        <v>638</v>
      </c>
      <c r="F44" s="227">
        <v>5.2499999999999998E-2</v>
      </c>
      <c r="G44" s="228">
        <f t="shared" si="4"/>
        <v>4.4589041095891603E-3</v>
      </c>
      <c r="H44" s="229">
        <f t="shared" si="3"/>
        <v>4.0591244782673301E-3</v>
      </c>
      <c r="I44" s="213"/>
    </row>
    <row r="45" spans="2:9" ht="16.5" thickBot="1" x14ac:dyDescent="0.3">
      <c r="B45" s="225">
        <v>22</v>
      </c>
      <c r="C45" s="221">
        <v>43733</v>
      </c>
      <c r="D45" s="226">
        <f t="shared" si="0"/>
        <v>31</v>
      </c>
      <c r="E45" s="226">
        <f t="shared" si="1"/>
        <v>669</v>
      </c>
      <c r="F45" s="227">
        <v>5.2499999999999998E-2</v>
      </c>
      <c r="G45" s="228">
        <f t="shared" si="4"/>
        <v>4.4589041095891603E-3</v>
      </c>
      <c r="H45" s="229">
        <f t="shared" si="3"/>
        <v>4.0406397363367298E-3</v>
      </c>
      <c r="I45" s="213"/>
    </row>
    <row r="46" spans="2:9" ht="16.5" thickBot="1" x14ac:dyDescent="0.3">
      <c r="B46" s="225">
        <v>23</v>
      </c>
      <c r="C46" s="221">
        <v>43763</v>
      </c>
      <c r="D46" s="226">
        <f t="shared" si="0"/>
        <v>30</v>
      </c>
      <c r="E46" s="226">
        <f t="shared" si="1"/>
        <v>699</v>
      </c>
      <c r="F46" s="227">
        <v>5.2499999999999998E-2</v>
      </c>
      <c r="G46" s="228">
        <f t="shared" si="4"/>
        <v>4.3150684931507997E-3</v>
      </c>
      <c r="H46" s="229">
        <f t="shared" si="3"/>
        <v>3.89306267247868E-3</v>
      </c>
      <c r="I46" s="213"/>
    </row>
    <row r="47" spans="2:9" ht="16.5" thickBot="1" x14ac:dyDescent="0.3">
      <c r="B47" s="225" t="s">
        <v>10</v>
      </c>
      <c r="C47" s="221">
        <v>43794</v>
      </c>
      <c r="D47" s="226">
        <f t="shared" si="0"/>
        <v>31</v>
      </c>
      <c r="E47" s="226">
        <f t="shared" si="1"/>
        <v>730</v>
      </c>
      <c r="F47" s="227">
        <v>5.2499999999999998E-2</v>
      </c>
      <c r="G47" s="228">
        <f>ROUND(((D47*$G$53)+1),17)</f>
        <v>1.0044589041095899</v>
      </c>
      <c r="H47" s="229">
        <f t="shared" si="3"/>
        <v>0.90209782409652906</v>
      </c>
      <c r="I47" s="213"/>
    </row>
    <row r="48" spans="2:9" ht="32.25" thickBot="1" x14ac:dyDescent="0.3">
      <c r="B48" s="230" t="s">
        <v>9</v>
      </c>
      <c r="C48" s="231"/>
      <c r="D48" s="231"/>
      <c r="E48" s="231"/>
      <c r="F48" s="231"/>
      <c r="G48" s="231"/>
      <c r="H48" s="232">
        <v>0.99680000000000002</v>
      </c>
    </row>
    <row r="49" spans="4:8" ht="15.75" thickTop="1" x14ac:dyDescent="0.25">
      <c r="H49" s="204">
        <f>SUM(H24:H47)</f>
        <v>0.99680000000000035</v>
      </c>
    </row>
    <row r="50" spans="4:8" x14ac:dyDescent="0.25">
      <c r="H50" s="204">
        <f>H48-H49</f>
        <v>0</v>
      </c>
    </row>
    <row r="51" spans="4:8" x14ac:dyDescent="0.25">
      <c r="D51" s="199" t="s">
        <v>7</v>
      </c>
      <c r="E51" s="200">
        <v>5.5210900362793101E-2</v>
      </c>
      <c r="F51" s="200"/>
      <c r="H51" s="204"/>
    </row>
    <row r="52" spans="4:8" x14ac:dyDescent="0.25">
      <c r="D52" s="199" t="s">
        <v>67</v>
      </c>
      <c r="E52" s="205">
        <v>0.05</v>
      </c>
      <c r="F52" s="205"/>
      <c r="G52" s="199">
        <f>ROUND(E52/365,17)</f>
        <v>1.3698630136986E-4</v>
      </c>
    </row>
    <row r="53" spans="4:8" x14ac:dyDescent="0.25">
      <c r="D53" s="199" t="s">
        <v>68</v>
      </c>
      <c r="E53" s="210">
        <v>5.2499999999999998E-2</v>
      </c>
      <c r="F53" s="210"/>
      <c r="G53" s="199">
        <f>ROUND(E53/365,17)</f>
        <v>1.4383561643836E-4</v>
      </c>
    </row>
  </sheetData>
  <mergeCells count="1">
    <mergeCell ref="E6:I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B1" sqref="B1"/>
    </sheetView>
  </sheetViews>
  <sheetFormatPr baseColWidth="10" defaultRowHeight="15" x14ac:dyDescent="0.25"/>
  <cols>
    <col min="1" max="1" width="6.28515625" style="199" customWidth="1"/>
    <col min="2" max="2" width="26.28515625" style="199" customWidth="1"/>
    <col min="3" max="3" width="25.85546875" style="199" customWidth="1"/>
    <col min="4" max="4" width="13.42578125" style="199" customWidth="1"/>
    <col min="5" max="5" width="22.42578125" style="199" customWidth="1"/>
    <col min="6" max="6" width="24.5703125" style="199" customWidth="1"/>
    <col min="7" max="16384" width="11.42578125" style="199"/>
  </cols>
  <sheetData>
    <row r="2" spans="2:6" x14ac:dyDescent="0.25">
      <c r="B2" s="5" t="s">
        <v>71</v>
      </c>
    </row>
    <row r="3" spans="2:6" x14ac:dyDescent="0.25">
      <c r="B3" s="5"/>
    </row>
    <row r="4" spans="2:6" ht="15.75" x14ac:dyDescent="0.25">
      <c r="B4" s="202" t="s">
        <v>143</v>
      </c>
      <c r="C4" s="202" t="s">
        <v>144</v>
      </c>
    </row>
    <row r="5" spans="2:6" ht="15.75" x14ac:dyDescent="0.25">
      <c r="B5" s="202" t="s">
        <v>145</v>
      </c>
      <c r="C5" s="202" t="s">
        <v>146</v>
      </c>
    </row>
    <row r="6" spans="2:6" x14ac:dyDescent="0.25">
      <c r="B6" s="5"/>
    </row>
    <row r="7" spans="2:6" ht="15.75" thickBot="1" x14ac:dyDescent="0.3"/>
    <row r="8" spans="2:6" ht="16.5" thickTop="1" x14ac:dyDescent="0.25">
      <c r="B8" s="306" t="s">
        <v>11</v>
      </c>
      <c r="C8" s="233" t="s">
        <v>12</v>
      </c>
      <c r="D8" s="308" t="s">
        <v>14</v>
      </c>
      <c r="E8" s="308" t="s">
        <v>15</v>
      </c>
      <c r="F8" s="310" t="s">
        <v>16</v>
      </c>
    </row>
    <row r="9" spans="2:6" ht="16.5" thickBot="1" x14ac:dyDescent="0.3">
      <c r="B9" s="307"/>
      <c r="C9" s="234" t="s">
        <v>13</v>
      </c>
      <c r="D9" s="309"/>
      <c r="E9" s="309"/>
      <c r="F9" s="311"/>
    </row>
    <row r="10" spans="2:6" ht="16.5" thickBot="1" x14ac:dyDescent="0.3">
      <c r="B10" s="235">
        <v>1</v>
      </c>
      <c r="C10" s="236">
        <v>5.2499999999999998E-2</v>
      </c>
      <c r="D10" s="237">
        <v>20000</v>
      </c>
      <c r="E10" s="238">
        <f>ROUND(D10/$D$16,17)</f>
        <v>0.105263157894737</v>
      </c>
      <c r="F10" s="239">
        <f>ROUND(C10*E10,17)</f>
        <v>5.5263157894736899E-3</v>
      </c>
    </row>
    <row r="11" spans="2:6" ht="16.5" thickBot="1" x14ac:dyDescent="0.3">
      <c r="B11" s="235">
        <v>2</v>
      </c>
      <c r="C11" s="236">
        <v>5.5E-2</v>
      </c>
      <c r="D11" s="237">
        <v>15000</v>
      </c>
      <c r="E11" s="238">
        <f t="shared" ref="E11:E15" si="0">ROUND(D11/$D$16,17)</f>
        <v>7.8947368421052599E-2</v>
      </c>
      <c r="F11" s="239">
        <f t="shared" ref="F11:F15" si="1">ROUND(C11*E11,17)</f>
        <v>4.3421052631578902E-3</v>
      </c>
    </row>
    <row r="12" spans="2:6" ht="16.5" thickBot="1" x14ac:dyDescent="0.3">
      <c r="B12" s="235">
        <v>3</v>
      </c>
      <c r="C12" s="236">
        <v>5.3499999999999999E-2</v>
      </c>
      <c r="D12" s="237">
        <v>45000</v>
      </c>
      <c r="E12" s="238">
        <f t="shared" si="0"/>
        <v>0.23684210526315799</v>
      </c>
      <c r="F12" s="239">
        <f t="shared" si="1"/>
        <v>1.2671052631579E-2</v>
      </c>
    </row>
    <row r="13" spans="2:6" ht="16.5" thickBot="1" x14ac:dyDescent="0.3">
      <c r="B13" s="235">
        <v>4</v>
      </c>
      <c r="C13" s="236">
        <v>5.2999999999999999E-2</v>
      </c>
      <c r="D13" s="237">
        <v>35000</v>
      </c>
      <c r="E13" s="238">
        <f t="shared" si="0"/>
        <v>0.18421052631578899</v>
      </c>
      <c r="F13" s="239">
        <f t="shared" si="1"/>
        <v>9.7631578947368208E-3</v>
      </c>
    </row>
    <row r="14" spans="2:6" ht="16.5" thickBot="1" x14ac:dyDescent="0.3">
      <c r="B14" s="235">
        <v>5</v>
      </c>
      <c r="C14" s="236">
        <v>5.3199999999999997E-2</v>
      </c>
      <c r="D14" s="237">
        <v>15000</v>
      </c>
      <c r="E14" s="238">
        <f t="shared" si="0"/>
        <v>7.8947368421052599E-2</v>
      </c>
      <c r="F14" s="239">
        <f t="shared" si="1"/>
        <v>4.1999999999999997E-3</v>
      </c>
    </row>
    <row r="15" spans="2:6" ht="16.5" thickBot="1" x14ac:dyDescent="0.3">
      <c r="B15" s="235">
        <v>6</v>
      </c>
      <c r="C15" s="236">
        <v>5.5500000000000001E-2</v>
      </c>
      <c r="D15" s="237">
        <v>60000</v>
      </c>
      <c r="E15" s="238">
        <f t="shared" si="0"/>
        <v>0.31578947368421101</v>
      </c>
      <c r="F15" s="239">
        <f t="shared" si="1"/>
        <v>1.7526315789473699E-2</v>
      </c>
    </row>
    <row r="16" spans="2:6" ht="16.5" thickBot="1" x14ac:dyDescent="0.3">
      <c r="B16" s="240" t="s">
        <v>17</v>
      </c>
      <c r="C16" s="241"/>
      <c r="D16" s="237">
        <v>190000</v>
      </c>
      <c r="E16" s="238"/>
      <c r="F16" s="239"/>
    </row>
    <row r="17" spans="2:6" ht="16.5" thickBot="1" x14ac:dyDescent="0.3">
      <c r="B17" s="242" t="s">
        <v>18</v>
      </c>
      <c r="C17" s="243"/>
      <c r="D17" s="243"/>
      <c r="E17" s="244"/>
      <c r="F17" s="245">
        <f>ROUND((SUM(F10:F15)),17)</f>
        <v>5.40289473684211E-2</v>
      </c>
    </row>
    <row r="18" spans="2:6" ht="15.75" thickTop="1" x14ac:dyDescent="0.25"/>
  </sheetData>
  <mergeCells count="4">
    <mergeCell ref="B8:B9"/>
    <mergeCell ref="D8:D9"/>
    <mergeCell ref="E8:E9"/>
    <mergeCell ref="F8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zoomScaleNormal="100" workbookViewId="0">
      <selection activeCell="B1" sqref="B1"/>
    </sheetView>
  </sheetViews>
  <sheetFormatPr baseColWidth="10" defaultRowHeight="15" x14ac:dyDescent="0.25"/>
  <cols>
    <col min="1" max="1" width="5.85546875" style="199" customWidth="1"/>
    <col min="2" max="2" width="11.42578125" style="199"/>
    <col min="3" max="3" width="16" style="199" customWidth="1"/>
    <col min="4" max="4" width="18.28515625" style="199" customWidth="1"/>
    <col min="5" max="5" width="17.5703125" style="199" customWidth="1"/>
    <col min="6" max="6" width="25" style="199" customWidth="1"/>
    <col min="7" max="7" width="21.85546875" style="199" customWidth="1"/>
    <col min="8" max="16384" width="11.42578125" style="199"/>
  </cols>
  <sheetData>
    <row r="2" spans="2:7" x14ac:dyDescent="0.25">
      <c r="B2" s="5" t="s">
        <v>72</v>
      </c>
    </row>
    <row r="3" spans="2:7" x14ac:dyDescent="0.25">
      <c r="C3" s="5"/>
    </row>
    <row r="4" spans="2:7" ht="15.75" x14ac:dyDescent="0.25">
      <c r="B4" s="202" t="s">
        <v>149</v>
      </c>
    </row>
    <row r="5" spans="2:7" ht="15.75" x14ac:dyDescent="0.25">
      <c r="B5" s="202" t="s">
        <v>101</v>
      </c>
      <c r="D5" s="202" t="s">
        <v>150</v>
      </c>
    </row>
    <row r="6" spans="2:7" ht="15.75" x14ac:dyDescent="0.25">
      <c r="B6" s="202" t="s">
        <v>151</v>
      </c>
      <c r="D6" s="202" t="s">
        <v>152</v>
      </c>
    </row>
    <row r="7" spans="2:7" ht="15.75" x14ac:dyDescent="0.25">
      <c r="B7" s="202" t="s">
        <v>153</v>
      </c>
      <c r="D7" s="202" t="s">
        <v>154</v>
      </c>
    </row>
    <row r="8" spans="2:7" ht="15.75" x14ac:dyDescent="0.25">
      <c r="B8" s="202" t="s">
        <v>128</v>
      </c>
      <c r="D8" s="202" t="s">
        <v>155</v>
      </c>
    </row>
    <row r="9" spans="2:7" ht="15.75" x14ac:dyDescent="0.25">
      <c r="B9" s="202" t="s">
        <v>105</v>
      </c>
      <c r="D9" s="202" t="s">
        <v>156</v>
      </c>
    </row>
    <row r="10" spans="2:7" ht="15.75" x14ac:dyDescent="0.25">
      <c r="B10" s="202" t="s">
        <v>157</v>
      </c>
      <c r="D10" s="216">
        <v>3</v>
      </c>
    </row>
    <row r="11" spans="2:7" ht="15.75" x14ac:dyDescent="0.25">
      <c r="B11" s="202" t="s">
        <v>158</v>
      </c>
      <c r="D11" s="202" t="s">
        <v>159</v>
      </c>
    </row>
    <row r="12" spans="2:7" ht="15.75" x14ac:dyDescent="0.25">
      <c r="B12" s="202" t="s">
        <v>160</v>
      </c>
      <c r="D12" s="202" t="s">
        <v>161</v>
      </c>
      <c r="F12" s="199" t="s">
        <v>26</v>
      </c>
      <c r="G12" s="246">
        <v>4.4999999999999998E-2</v>
      </c>
    </row>
    <row r="13" spans="2:7" x14ac:dyDescent="0.25">
      <c r="F13" s="199" t="s">
        <v>30</v>
      </c>
      <c r="G13" s="247">
        <f>ROUND(G12/365,17)</f>
        <v>1.2328767123287999E-4</v>
      </c>
    </row>
    <row r="14" spans="2:7" x14ac:dyDescent="0.25">
      <c r="F14" s="199" t="s">
        <v>7</v>
      </c>
      <c r="G14" s="210">
        <v>0.05</v>
      </c>
    </row>
    <row r="15" spans="2:7" x14ac:dyDescent="0.25">
      <c r="F15" s="199" t="s">
        <v>31</v>
      </c>
      <c r="G15" s="248">
        <v>43329</v>
      </c>
    </row>
    <row r="18" spans="2:13" x14ac:dyDescent="0.25">
      <c r="B18" s="20" t="s">
        <v>55</v>
      </c>
      <c r="C18" s="20" t="s">
        <v>47</v>
      </c>
      <c r="D18" s="20" t="s">
        <v>56</v>
      </c>
      <c r="E18" s="20" t="s">
        <v>147</v>
      </c>
      <c r="F18" s="20" t="s">
        <v>148</v>
      </c>
      <c r="G18" s="20" t="s">
        <v>37</v>
      </c>
    </row>
    <row r="19" spans="2:13" x14ac:dyDescent="0.25">
      <c r="B19" s="38">
        <v>43321</v>
      </c>
      <c r="C19" s="37"/>
      <c r="D19" s="37"/>
      <c r="E19" s="37"/>
      <c r="F19" s="37"/>
      <c r="G19" s="37"/>
    </row>
    <row r="20" spans="2:13" x14ac:dyDescent="0.25">
      <c r="B20" s="38">
        <v>43329</v>
      </c>
      <c r="C20" s="38"/>
      <c r="D20" s="37"/>
      <c r="E20" s="37"/>
      <c r="F20" s="37"/>
      <c r="G20" s="37"/>
    </row>
    <row r="21" spans="2:13" x14ac:dyDescent="0.25">
      <c r="B21" s="38">
        <v>43352</v>
      </c>
      <c r="C21" s="39">
        <f>B21-B19</f>
        <v>31</v>
      </c>
      <c r="D21" s="37">
        <f>B21-$B$20</f>
        <v>23</v>
      </c>
      <c r="E21" s="37" t="s">
        <v>27</v>
      </c>
      <c r="F21" s="40">
        <f>ROUND($G$13*C21,17)</f>
        <v>3.8219178082192799E-3</v>
      </c>
      <c r="G21" s="40">
        <f>ROUND((F21/((1+$G$14)^(D21/365))),17)</f>
        <v>3.8101855623135601E-3</v>
      </c>
    </row>
    <row r="22" spans="2:13" x14ac:dyDescent="0.25">
      <c r="B22" s="38">
        <v>43382</v>
      </c>
      <c r="C22" s="39">
        <f>B22-B21</f>
        <v>30</v>
      </c>
      <c r="D22" s="37">
        <f>B22-$B$20</f>
        <v>53</v>
      </c>
      <c r="E22" s="37" t="s">
        <v>28</v>
      </c>
      <c r="F22" s="40">
        <f t="shared" ref="F22" si="0">ROUND($G$13*C22,17)</f>
        <v>3.6986301369864001E-3</v>
      </c>
      <c r="G22" s="40">
        <f>ROUND((F22/((1+$G$14)^(D22/365))),17)</f>
        <v>3.6725194261196699E-3</v>
      </c>
    </row>
    <row r="23" spans="2:13" x14ac:dyDescent="0.25">
      <c r="B23" s="38">
        <v>43413</v>
      </c>
      <c r="C23" s="39">
        <f>B23-B22</f>
        <v>31</v>
      </c>
      <c r="D23" s="37">
        <f>B23-$B$20</f>
        <v>84</v>
      </c>
      <c r="E23" s="37" t="s">
        <v>29</v>
      </c>
      <c r="F23" s="40">
        <f>ROUND($G$13*C23+1,17)</f>
        <v>1.0038219178082199</v>
      </c>
      <c r="G23" s="40">
        <f>ROUND(((F23)/((1+$G$14)^(D23/365))),17)</f>
        <v>0.99261362583319901</v>
      </c>
    </row>
    <row r="24" spans="2:13" x14ac:dyDescent="0.25">
      <c r="F24" s="204"/>
      <c r="G24" s="204"/>
    </row>
    <row r="25" spans="2:13" x14ac:dyDescent="0.25">
      <c r="D25" s="199" t="s">
        <v>33</v>
      </c>
      <c r="E25" s="199" t="s">
        <v>32</v>
      </c>
      <c r="F25" s="204"/>
      <c r="G25" s="204">
        <f>ROUND(((G21*(D21/365))+(G22*(D22/365))+(G23*(D23/365)))/(G21+G22+G23),17)</f>
        <v>0.22918839433340801</v>
      </c>
      <c r="M25" s="205"/>
    </row>
    <row r="26" spans="2:13" x14ac:dyDescent="0.25">
      <c r="E26" s="199" t="s">
        <v>34</v>
      </c>
      <c r="F26" s="204"/>
      <c r="G26" s="204">
        <f>ROUND(G25*365,17)</f>
        <v>83.653763931693902</v>
      </c>
      <c r="M26" s="20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B1" sqref="B1"/>
    </sheetView>
  </sheetViews>
  <sheetFormatPr baseColWidth="10" defaultRowHeight="15" x14ac:dyDescent="0.25"/>
  <cols>
    <col min="1" max="1" width="5.7109375" style="199" customWidth="1"/>
    <col min="2" max="2" width="14.140625" style="199" customWidth="1"/>
    <col min="3" max="3" width="16.140625" style="199" customWidth="1"/>
    <col min="4" max="4" width="14.140625" style="199" customWidth="1"/>
    <col min="5" max="6" width="24.85546875" style="199" customWidth="1"/>
    <col min="7" max="16384" width="11.42578125" style="199"/>
  </cols>
  <sheetData>
    <row r="2" spans="2:7" x14ac:dyDescent="0.25">
      <c r="B2" s="5" t="s">
        <v>73</v>
      </c>
    </row>
    <row r="3" spans="2:7" ht="15.75" thickBot="1" x14ac:dyDescent="0.3"/>
    <row r="4" spans="2:7" ht="59.25" customHeight="1" thickTop="1" x14ac:dyDescent="0.25">
      <c r="B4" s="312" t="s">
        <v>19</v>
      </c>
      <c r="C4" s="314" t="s">
        <v>20</v>
      </c>
      <c r="D4" s="314" t="s">
        <v>21</v>
      </c>
      <c r="E4" s="314" t="s">
        <v>15</v>
      </c>
      <c r="F4" s="316" t="s">
        <v>22</v>
      </c>
      <c r="G4" s="249"/>
    </row>
    <row r="5" spans="2:7" ht="15.75" thickBot="1" x14ac:dyDescent="0.3">
      <c r="B5" s="313"/>
      <c r="C5" s="315"/>
      <c r="D5" s="315"/>
      <c r="E5" s="315"/>
      <c r="F5" s="317"/>
      <c r="G5" s="249"/>
    </row>
    <row r="6" spans="2:7" ht="15.75" thickBot="1" x14ac:dyDescent="0.3">
      <c r="B6" s="250">
        <v>1</v>
      </c>
      <c r="C6" s="251">
        <v>0.05</v>
      </c>
      <c r="D6" s="252">
        <v>220000</v>
      </c>
      <c r="E6" s="253">
        <f>ROUND(D6/$D$10,17)</f>
        <v>8.74751491053678E-2</v>
      </c>
      <c r="F6" s="254">
        <f>ROUND(C6*E6,17)</f>
        <v>4.3737574552683896E-3</v>
      </c>
      <c r="G6" s="249"/>
    </row>
    <row r="7" spans="2:7" ht="15.75" thickBot="1" x14ac:dyDescent="0.3">
      <c r="B7" s="250">
        <v>2</v>
      </c>
      <c r="C7" s="251">
        <v>5.5E-2</v>
      </c>
      <c r="D7" s="252">
        <v>1215000</v>
      </c>
      <c r="E7" s="253">
        <f t="shared" ref="E7:E9" si="0">ROUND(D7/$D$10,17)</f>
        <v>0.48310139165009902</v>
      </c>
      <c r="F7" s="254">
        <f t="shared" ref="F7:F9" si="1">ROUND(C7*E7,17)</f>
        <v>2.6570576540755401E-2</v>
      </c>
      <c r="G7" s="249"/>
    </row>
    <row r="8" spans="2:7" ht="15.75" thickBot="1" x14ac:dyDescent="0.3">
      <c r="B8" s="250">
        <v>3</v>
      </c>
      <c r="C8" s="251">
        <v>5.2999999999999999E-2</v>
      </c>
      <c r="D8" s="252">
        <v>945000</v>
      </c>
      <c r="E8" s="253">
        <f t="shared" si="0"/>
        <v>0.375745526838966</v>
      </c>
      <c r="F8" s="254">
        <f t="shared" si="1"/>
        <v>1.99145129224652E-2</v>
      </c>
      <c r="G8" s="249"/>
    </row>
    <row r="9" spans="2:7" ht="15.75" thickBot="1" x14ac:dyDescent="0.3">
      <c r="B9" s="250">
        <v>4</v>
      </c>
      <c r="C9" s="251">
        <v>0.06</v>
      </c>
      <c r="D9" s="252">
        <v>135000</v>
      </c>
      <c r="E9" s="253">
        <f t="shared" si="0"/>
        <v>5.3677932405566599E-2</v>
      </c>
      <c r="F9" s="254">
        <f t="shared" si="1"/>
        <v>3.220675944334E-3</v>
      </c>
      <c r="G9" s="249"/>
    </row>
    <row r="10" spans="2:7" ht="30.75" thickBot="1" x14ac:dyDescent="0.3">
      <c r="B10" s="250" t="s">
        <v>23</v>
      </c>
      <c r="C10" s="255"/>
      <c r="D10" s="252">
        <v>2515000</v>
      </c>
      <c r="E10" s="256"/>
      <c r="F10" s="257"/>
      <c r="G10" s="249"/>
    </row>
    <row r="11" spans="2:7" ht="30.75" thickBot="1" x14ac:dyDescent="0.3">
      <c r="B11" s="12" t="s">
        <v>24</v>
      </c>
      <c r="C11" s="13"/>
      <c r="D11" s="13"/>
      <c r="E11" s="25"/>
      <c r="F11" s="26">
        <f>ROUND(SUM(F6:F9),17)</f>
        <v>5.4079522862822998E-2</v>
      </c>
      <c r="G11" s="249"/>
    </row>
    <row r="12" spans="2:7" ht="15.75" thickTop="1" x14ac:dyDescent="0.25">
      <c r="B12" s="18"/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workbookViewId="0"/>
  </sheetViews>
  <sheetFormatPr baseColWidth="10" defaultRowHeight="15" x14ac:dyDescent="0.25"/>
  <cols>
    <col min="1" max="1" width="5.140625" customWidth="1"/>
    <col min="3" max="3" width="24" customWidth="1"/>
  </cols>
  <sheetData>
    <row r="2" spans="2:3" x14ac:dyDescent="0.25">
      <c r="B2" s="5" t="s">
        <v>263</v>
      </c>
    </row>
    <row r="4" spans="2:3" x14ac:dyDescent="0.25">
      <c r="B4" t="s">
        <v>7</v>
      </c>
      <c r="C4" s="2">
        <v>0.05</v>
      </c>
    </row>
    <row r="6" spans="2:3" x14ac:dyDescent="0.25">
      <c r="B6" t="s">
        <v>35</v>
      </c>
      <c r="C6" s="21">
        <f>ROUND((((1+C4)^(1/365))-1),17)</f>
        <v>1.3368061711350001E-4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D21" sqref="D21"/>
    </sheetView>
  </sheetViews>
  <sheetFormatPr baseColWidth="10" defaultRowHeight="15" x14ac:dyDescent="0.25"/>
  <cols>
    <col min="1" max="1" width="5.7109375" style="199" customWidth="1"/>
    <col min="2" max="2" width="33.42578125" style="199" customWidth="1"/>
    <col min="3" max="3" width="28.42578125" style="199" customWidth="1"/>
    <col min="4" max="4" width="39.140625" style="199" customWidth="1"/>
    <col min="5" max="16384" width="11.42578125" style="199"/>
  </cols>
  <sheetData>
    <row r="2" spans="2:3" x14ac:dyDescent="0.25">
      <c r="B2" s="5" t="s">
        <v>262</v>
      </c>
    </row>
    <row r="3" spans="2:3" x14ac:dyDescent="0.25">
      <c r="B3" s="5"/>
    </row>
    <row r="4" spans="2:3" ht="15.75" x14ac:dyDescent="0.25">
      <c r="B4" s="202" t="s">
        <v>162</v>
      </c>
    </row>
    <row r="5" spans="2:3" ht="15.75" x14ac:dyDescent="0.25">
      <c r="B5" s="202" t="s">
        <v>163</v>
      </c>
      <c r="C5" s="202" t="s">
        <v>164</v>
      </c>
    </row>
    <row r="6" spans="2:3" ht="15.75" x14ac:dyDescent="0.25">
      <c r="B6" s="202" t="s">
        <v>165</v>
      </c>
      <c r="C6" s="202" t="s">
        <v>166</v>
      </c>
    </row>
    <row r="7" spans="2:3" ht="15.75" x14ac:dyDescent="0.25">
      <c r="B7" s="202" t="s">
        <v>167</v>
      </c>
      <c r="C7" s="202" t="s">
        <v>168</v>
      </c>
    </row>
    <row r="8" spans="2:3" ht="15.75" x14ac:dyDescent="0.25">
      <c r="B8" s="202" t="s">
        <v>103</v>
      </c>
      <c r="C8" s="202" t="s">
        <v>317</v>
      </c>
    </row>
    <row r="9" spans="2:3" ht="15.75" x14ac:dyDescent="0.25">
      <c r="B9" s="202" t="s">
        <v>105</v>
      </c>
      <c r="C9" s="202" t="s">
        <v>318</v>
      </c>
    </row>
    <row r="10" spans="2:3" ht="15.75" x14ac:dyDescent="0.25">
      <c r="B10" s="202" t="s">
        <v>107</v>
      </c>
      <c r="C10" s="202" t="s">
        <v>169</v>
      </c>
    </row>
    <row r="11" spans="2:3" ht="15.75" x14ac:dyDescent="0.25">
      <c r="B11" s="202" t="s">
        <v>170</v>
      </c>
      <c r="C11" s="202" t="s">
        <v>171</v>
      </c>
    </row>
    <row r="13" spans="2:3" x14ac:dyDescent="0.25">
      <c r="B13" s="199" t="s">
        <v>35</v>
      </c>
      <c r="C13" s="210">
        <v>0.05</v>
      </c>
    </row>
    <row r="14" spans="2:3" x14ac:dyDescent="0.25">
      <c r="B14" s="199" t="s">
        <v>34</v>
      </c>
      <c r="C14" s="199">
        <v>457</v>
      </c>
    </row>
    <row r="15" spans="2:3" x14ac:dyDescent="0.25">
      <c r="B15" s="199" t="s">
        <v>36</v>
      </c>
      <c r="C15" s="200">
        <f>ROUND((((1+C13)^(1/365))-1),17)</f>
        <v>1.3368061711350001E-4</v>
      </c>
    </row>
    <row r="17" spans="2:3" x14ac:dyDescent="0.25">
      <c r="B17" s="199" t="s">
        <v>37</v>
      </c>
      <c r="C17" s="204">
        <f>ROUND(1/((1+C15)^457),17)</f>
        <v>0.94074048956869705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>
      <selection sqref="A1:XFD1048576"/>
    </sheetView>
  </sheetViews>
  <sheetFormatPr baseColWidth="10" defaultRowHeight="15" x14ac:dyDescent="0.25"/>
  <cols>
    <col min="1" max="1" width="5.42578125" style="199" customWidth="1"/>
    <col min="2" max="2" width="19.85546875" style="199" customWidth="1"/>
    <col min="3" max="3" width="21.42578125" style="199" bestFit="1" customWidth="1"/>
    <col min="4" max="4" width="11.42578125" style="199"/>
    <col min="5" max="5" width="18.7109375" style="199" customWidth="1"/>
    <col min="6" max="6" width="20.5703125" style="199" customWidth="1"/>
    <col min="7" max="7" width="20.42578125" style="199" customWidth="1"/>
    <col min="8" max="16384" width="11.42578125" style="199"/>
  </cols>
  <sheetData>
    <row r="2" spans="2:4" x14ac:dyDescent="0.25">
      <c r="B2" s="5" t="s">
        <v>172</v>
      </c>
    </row>
    <row r="3" spans="2:4" x14ac:dyDescent="0.25">
      <c r="B3" s="5"/>
    </row>
    <row r="4" spans="2:4" ht="15.75" x14ac:dyDescent="0.25">
      <c r="B4" s="202" t="s">
        <v>162</v>
      </c>
    </row>
    <row r="5" spans="2:4" ht="15.75" x14ac:dyDescent="0.25">
      <c r="B5" s="202" t="s">
        <v>163</v>
      </c>
      <c r="D5" s="216" t="s">
        <v>173</v>
      </c>
    </row>
    <row r="6" spans="2:4" ht="15.75" x14ac:dyDescent="0.25">
      <c r="B6" s="202" t="s">
        <v>103</v>
      </c>
      <c r="D6" s="259" t="s">
        <v>319</v>
      </c>
    </row>
    <row r="7" spans="2:4" ht="15.75" x14ac:dyDescent="0.25">
      <c r="B7" s="202" t="s">
        <v>105</v>
      </c>
      <c r="D7" s="259" t="s">
        <v>320</v>
      </c>
    </row>
    <row r="8" spans="2:4" ht="15.75" x14ac:dyDescent="0.25">
      <c r="B8" s="202" t="s">
        <v>174</v>
      </c>
      <c r="D8" s="216" t="s">
        <v>175</v>
      </c>
    </row>
    <row r="9" spans="2:4" ht="15.75" x14ac:dyDescent="0.25">
      <c r="B9" s="202" t="s">
        <v>165</v>
      </c>
      <c r="D9" s="216" t="s">
        <v>176</v>
      </c>
    </row>
    <row r="10" spans="2:4" ht="15.75" x14ac:dyDescent="0.25">
      <c r="B10" s="202" t="s">
        <v>153</v>
      </c>
      <c r="D10" s="216" t="s">
        <v>159</v>
      </c>
    </row>
    <row r="11" spans="2:4" ht="15.75" x14ac:dyDescent="0.25">
      <c r="B11" s="202" t="s">
        <v>167</v>
      </c>
      <c r="D11" s="216" t="s">
        <v>88</v>
      </c>
    </row>
    <row r="12" spans="2:4" ht="15.75" x14ac:dyDescent="0.25">
      <c r="B12" s="202" t="s">
        <v>177</v>
      </c>
      <c r="D12" s="216" t="s">
        <v>178</v>
      </c>
    </row>
    <row r="13" spans="2:4" ht="15.75" x14ac:dyDescent="0.25">
      <c r="B13" s="202" t="s">
        <v>179</v>
      </c>
      <c r="D13" s="216" t="s">
        <v>180</v>
      </c>
    </row>
    <row r="14" spans="2:4" ht="15.75" x14ac:dyDescent="0.25">
      <c r="B14" s="202" t="s">
        <v>181</v>
      </c>
      <c r="D14" s="216" t="s">
        <v>182</v>
      </c>
    </row>
    <row r="15" spans="2:4" x14ac:dyDescent="0.25">
      <c r="C15" s="5"/>
    </row>
    <row r="16" spans="2:4" x14ac:dyDescent="0.25">
      <c r="B16" s="199" t="s">
        <v>26</v>
      </c>
      <c r="C16" s="205">
        <v>0.05</v>
      </c>
    </row>
    <row r="17" spans="2:7" x14ac:dyDescent="0.25">
      <c r="B17" s="199" t="s">
        <v>48</v>
      </c>
      <c r="C17" s="258">
        <v>6</v>
      </c>
    </row>
    <row r="18" spans="2:7" x14ac:dyDescent="0.25">
      <c r="B18" s="199" t="s">
        <v>49</v>
      </c>
      <c r="C18" s="258">
        <f>C16/365</f>
        <v>1.3698630136986303E-4</v>
      </c>
    </row>
    <row r="19" spans="2:7" x14ac:dyDescent="0.25">
      <c r="C19" s="258"/>
    </row>
    <row r="20" spans="2:7" x14ac:dyDescent="0.25">
      <c r="C20" s="19" t="s">
        <v>55</v>
      </c>
      <c r="D20" s="20" t="s">
        <v>47</v>
      </c>
      <c r="E20" s="20" t="s">
        <v>57</v>
      </c>
      <c r="F20" s="20" t="s">
        <v>59</v>
      </c>
      <c r="G20" s="20" t="s">
        <v>58</v>
      </c>
    </row>
    <row r="21" spans="2:7" hidden="1" x14ac:dyDescent="0.25">
      <c r="C21" s="38">
        <v>42966</v>
      </c>
      <c r="D21" s="37"/>
      <c r="E21" s="37"/>
      <c r="F21" s="37"/>
      <c r="G21" s="37"/>
    </row>
    <row r="22" spans="2:7" hidden="1" x14ac:dyDescent="0.25">
      <c r="C22" s="38">
        <v>42970</v>
      </c>
      <c r="D22" s="37"/>
      <c r="E22" s="37"/>
      <c r="F22" s="37"/>
      <c r="G22" s="37"/>
    </row>
    <row r="23" spans="2:7" x14ac:dyDescent="0.25">
      <c r="C23" s="38">
        <v>42997</v>
      </c>
      <c r="D23" s="37">
        <f>C23-C21</f>
        <v>31</v>
      </c>
      <c r="E23" s="37">
        <f>C23-$C$22</f>
        <v>27</v>
      </c>
      <c r="F23" s="40">
        <f>ROUND($C$18*D23,17)</f>
        <v>4.24657534246575E-3</v>
      </c>
      <c r="G23" s="40">
        <f t="shared" ref="G23:G28" si="0">(F23/((1+$C$32)^(E23)))</f>
        <v>4.2283107082373107E-3</v>
      </c>
    </row>
    <row r="24" spans="2:7" x14ac:dyDescent="0.25">
      <c r="C24" s="38">
        <v>43027</v>
      </c>
      <c r="D24" s="37">
        <f>C24-C23</f>
        <v>30</v>
      </c>
      <c r="E24" s="37">
        <f t="shared" ref="E24:E28" si="1">C24-$C$22</f>
        <v>57</v>
      </c>
      <c r="F24" s="40">
        <f t="shared" ref="F24:F27" si="2">ROUND($C$18*D24,17)</f>
        <v>4.10958904109589E-3</v>
      </c>
      <c r="G24" s="40">
        <f t="shared" si="0"/>
        <v>4.0723633450583004E-3</v>
      </c>
    </row>
    <row r="25" spans="2:7" x14ac:dyDescent="0.25">
      <c r="C25" s="38">
        <v>43058</v>
      </c>
      <c r="D25" s="37">
        <f t="shared" ref="D25:D28" si="3">C25-C24</f>
        <v>31</v>
      </c>
      <c r="E25" s="37">
        <f t="shared" si="1"/>
        <v>88</v>
      </c>
      <c r="F25" s="40">
        <f t="shared" si="2"/>
        <v>4.24657534246575E-3</v>
      </c>
      <c r="G25" s="40">
        <f t="shared" si="0"/>
        <v>4.1873348687420835E-3</v>
      </c>
    </row>
    <row r="26" spans="2:7" x14ac:dyDescent="0.25">
      <c r="C26" s="38">
        <v>43088</v>
      </c>
      <c r="D26" s="37">
        <f t="shared" si="3"/>
        <v>30</v>
      </c>
      <c r="E26" s="37">
        <f t="shared" si="1"/>
        <v>118</v>
      </c>
      <c r="F26" s="40">
        <f t="shared" si="2"/>
        <v>4.10958904109589E-3</v>
      </c>
      <c r="G26" s="40">
        <f t="shared" si="0"/>
        <v>4.0328987649203563E-3</v>
      </c>
    </row>
    <row r="27" spans="2:7" x14ac:dyDescent="0.25">
      <c r="C27" s="38">
        <v>43119</v>
      </c>
      <c r="D27" s="37">
        <f t="shared" si="3"/>
        <v>31</v>
      </c>
      <c r="E27" s="37">
        <f t="shared" si="1"/>
        <v>149</v>
      </c>
      <c r="F27" s="40">
        <f t="shared" si="2"/>
        <v>4.24657534246575E-3</v>
      </c>
      <c r="G27" s="40">
        <f t="shared" si="0"/>
        <v>4.1467561191340921E-3</v>
      </c>
    </row>
    <row r="28" spans="2:7" x14ac:dyDescent="0.25">
      <c r="C28" s="38">
        <v>43150</v>
      </c>
      <c r="D28" s="37">
        <f t="shared" si="3"/>
        <v>31</v>
      </c>
      <c r="E28" s="37">
        <f t="shared" si="1"/>
        <v>180</v>
      </c>
      <c r="F28" s="40">
        <f>1+ROUND($C$18*D28,17)</f>
        <v>1.0042465753424656</v>
      </c>
      <c r="G28" s="40">
        <f t="shared" si="0"/>
        <v>0.9757998670335668</v>
      </c>
    </row>
    <row r="29" spans="2:7" x14ac:dyDescent="0.25">
      <c r="C29" s="258"/>
      <c r="G29" s="204">
        <f>SUM(G23:G28)</f>
        <v>0.996467530839659</v>
      </c>
    </row>
    <row r="30" spans="2:7" x14ac:dyDescent="0.25">
      <c r="B30" s="199" t="s">
        <v>35</v>
      </c>
      <c r="C30" s="210">
        <v>0.06</v>
      </c>
    </row>
    <row r="32" spans="2:7" x14ac:dyDescent="0.25">
      <c r="B32" s="199" t="s">
        <v>36</v>
      </c>
      <c r="C32" s="200">
        <f>ROUND((((1+C30)^(1/365))-1),17)</f>
        <v>1.5965358745285001E-4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A48D8AA186464EAE682397D8B47902" ma:contentTypeVersion="4" ma:contentTypeDescription="Crear nuevo documento." ma:contentTypeScope="" ma:versionID="17b273845d1e1c587ae94388e90ae5ab">
  <xsd:schema xmlns:xsd="http://www.w3.org/2001/XMLSchema" xmlns:xs="http://www.w3.org/2001/XMLSchema" xmlns:p="http://schemas.microsoft.com/office/2006/metadata/properties" xmlns:ns2="925361b9-3a0c-4c35-ae0e-5f5ef97db517" xmlns:ns3="0287c0b5-b5c5-4019-839b-c1f429e15169" targetNamespace="http://schemas.microsoft.com/office/2006/metadata/properties" ma:root="true" ma:fieldsID="08348971b5b83e58e901971ba9b9a4fd" ns2:_="" ns3:_="">
    <xsd:import namespace="925361b9-3a0c-4c35-ae0e-5f5ef97db517"/>
    <xsd:import namespace="0287c0b5-b5c5-4019-839b-c1f429e1516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361b9-3a0c-4c35-ae0e-5f5ef97db51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7c0b5-b5c5-4019-839b-c1f429e1516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5361b9-3a0c-4c35-ae0e-5f5ef97db517">TAK2XWSQXAVX-32160706-1552</_dlc_DocId>
    <_dlc_DocIdUrl xmlns="925361b9-3a0c-4c35-ae0e-5f5ef97db517">
      <Url>http://sis/dn/_layouts/15/DocIdRedir.aspx?ID=TAK2XWSQXAVX-32160706-1552</Url>
      <Description>TAK2XWSQXAVX-32160706-1552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B2CC304-7874-491B-8856-463D5CB7A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5361b9-3a0c-4c35-ae0e-5f5ef97db517"/>
    <ds:schemaRef ds:uri="0287c0b5-b5c5-4019-839b-c1f429e15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CAABA5-C596-4AA4-8448-029F18ADAB35}">
  <ds:schemaRefs>
    <ds:schemaRef ds:uri="http://purl.org/dc/terms/"/>
    <ds:schemaRef ds:uri="925361b9-3a0c-4c35-ae0e-5f5ef97db517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0287c0b5-b5c5-4019-839b-c1f429e1516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E00357-20D6-4D23-A083-463E5D0320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C3F643-7B07-4EA0-AD8C-29235BB17E6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3</vt:i4>
      </vt:variant>
    </vt:vector>
  </HeadingPairs>
  <TitlesOfParts>
    <vt:vector size="28" baseType="lpstr">
      <vt:lpstr>Ejemplo 1</vt:lpstr>
      <vt:lpstr>Ejemplo 2</vt:lpstr>
      <vt:lpstr>Ejemplo 3</vt:lpstr>
      <vt:lpstr>Ejemplo 4</vt:lpstr>
      <vt:lpstr>Ejemplo 5</vt:lpstr>
      <vt:lpstr>Ejemplo 6</vt:lpstr>
      <vt:lpstr>Ejemplo 7</vt:lpstr>
      <vt:lpstr>Ejemplo 8</vt:lpstr>
      <vt:lpstr>Ejemplo 9</vt:lpstr>
      <vt:lpstr>Ejemplo 10</vt:lpstr>
      <vt:lpstr>Ejemplo 11</vt:lpstr>
      <vt:lpstr>Ejemplo 12</vt:lpstr>
      <vt:lpstr>Ejemplo 13</vt:lpstr>
      <vt:lpstr>Ejemplo 14</vt:lpstr>
      <vt:lpstr>Ejemplo 15</vt:lpstr>
      <vt:lpstr>Ejemplo 16</vt:lpstr>
      <vt:lpstr>Ejemplo 17</vt:lpstr>
      <vt:lpstr>Ejemplo 18</vt:lpstr>
      <vt:lpstr>Ejemplo 19</vt:lpstr>
      <vt:lpstr>Ejemplo 20</vt:lpstr>
      <vt:lpstr>Ejemplo 21</vt:lpstr>
      <vt:lpstr>Ejemplo 22</vt:lpstr>
      <vt:lpstr>Banda de Pre Cot Nac RF</vt:lpstr>
      <vt:lpstr>Banda de Pre Cot Nac RV</vt:lpstr>
      <vt:lpstr>Banda de Pre Cot Intern</vt:lpstr>
      <vt:lpstr>'Ejemplo 3'!_ftn1</vt:lpstr>
      <vt:lpstr>'Ejemplo 3'!_ftnref1</vt:lpstr>
      <vt:lpstr>'Ejemplo 2'!_Hlk14963875</vt:lpstr>
    </vt:vector>
  </TitlesOfParts>
  <Company>Banco Central de Reserva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Arévalo de la O</dc:creator>
  <cp:lastModifiedBy>Roberto Benjamín Iglesias González</cp:lastModifiedBy>
  <dcterms:created xsi:type="dcterms:W3CDTF">2019-07-02T17:21:02Z</dcterms:created>
  <dcterms:modified xsi:type="dcterms:W3CDTF">2019-09-04T20:18:55Z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0x010100D8A48D8AA186464EAE682397D8B47902</vt:lpwstr>
  </property>
  <property fmtid="{D5CDD505-2E9C-101B-9397-08002B2CF9AE}" pid="3" name="_dlc_DocIdItemGuid">
    <vt:lpwstr>4b31af1b-6682-4dcd-84c9-1a3b1fb3f551</vt:lpwstr>
  </property>
</Properties>
</file>